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List1" sheetId="1" r:id="rId1"/>
    <sheet name="List2" sheetId="2" r:id="rId2"/>
    <sheet name="List3" sheetId="3" r:id="rId3"/>
    <sheet name="DV-IDENTITY-0" sheetId="4" state="veryHidden" r:id="rId4"/>
  </sheets>
  <calcPr calcId="144525"/>
</workbook>
</file>

<file path=xl/calcChain.xml><?xml version="1.0" encoding="utf-8"?>
<calcChain xmlns="http://schemas.openxmlformats.org/spreadsheetml/2006/main">
  <c r="L23" i="1" l="1"/>
  <c r="P23" i="1"/>
  <c r="T23" i="1"/>
  <c r="AJ23" i="1"/>
  <c r="X23" i="1"/>
  <c r="AB23" i="1"/>
  <c r="AF23" i="1"/>
  <c r="AE23" i="1"/>
  <c r="AA23" i="1"/>
  <c r="W23" i="1"/>
  <c r="S23" i="1"/>
  <c r="O23" i="1"/>
  <c r="K23" i="1"/>
  <c r="G23" i="1"/>
  <c r="N23" i="1"/>
  <c r="J23" i="1"/>
  <c r="F23" i="1"/>
  <c r="AH23" i="1"/>
  <c r="AD23" i="1"/>
  <c r="Z23" i="1"/>
  <c r="V23" i="1"/>
  <c r="R23" i="1"/>
  <c r="AE33" i="1"/>
  <c r="AE43" i="1"/>
  <c r="AE54" i="1"/>
  <c r="AG42" i="1"/>
  <c r="AD12" i="1"/>
  <c r="AJ12" i="1" l="1"/>
  <c r="AF12" i="1"/>
  <c r="AE12" i="1"/>
  <c r="AH12" i="1"/>
  <c r="AG44" i="1"/>
  <c r="AK44" i="1" s="1"/>
  <c r="AG48" i="1"/>
  <c r="AK48" i="1" s="1"/>
  <c r="AG49" i="1"/>
  <c r="AK49" i="1" s="1"/>
  <c r="AG51" i="1"/>
  <c r="AK51" i="1" s="1"/>
  <c r="AG52" i="1"/>
  <c r="AK52" i="1" s="1"/>
  <c r="AK53" i="1"/>
  <c r="AD54" i="1"/>
  <c r="AF54" i="1"/>
  <c r="AH54" i="1"/>
  <c r="AJ54" i="1"/>
  <c r="AG34" i="1"/>
  <c r="AK34" i="1" s="1"/>
  <c r="AG35" i="1"/>
  <c r="AK35" i="1" s="1"/>
  <c r="AG36" i="1"/>
  <c r="AK36" i="1" s="1"/>
  <c r="AG37" i="1"/>
  <c r="AK37" i="1" s="1"/>
  <c r="AG38" i="1"/>
  <c r="AK38" i="1" s="1"/>
  <c r="AG39" i="1"/>
  <c r="AK39" i="1" s="1"/>
  <c r="AG40" i="1"/>
  <c r="AK40" i="1" s="1"/>
  <c r="AG41" i="1"/>
  <c r="AK41" i="1" s="1"/>
  <c r="AK42" i="1"/>
  <c r="AD43" i="1"/>
  <c r="AF43" i="1"/>
  <c r="AH43" i="1"/>
  <c r="AJ43" i="1"/>
  <c r="AG24" i="1"/>
  <c r="AK24" i="1" s="1"/>
  <c r="AG25" i="1"/>
  <c r="AK25" i="1" s="1"/>
  <c r="AG26" i="1"/>
  <c r="AK26" i="1" s="1"/>
  <c r="AG27" i="1"/>
  <c r="AK27" i="1" s="1"/>
  <c r="AG28" i="1"/>
  <c r="AK28" i="1" s="1"/>
  <c r="AG29" i="1"/>
  <c r="AK29" i="1" s="1"/>
  <c r="AG30" i="1"/>
  <c r="AK30" i="1" s="1"/>
  <c r="AG31" i="1"/>
  <c r="AK31" i="1" s="1"/>
  <c r="AG32" i="1"/>
  <c r="AK32" i="1" s="1"/>
  <c r="AD33" i="1"/>
  <c r="AF33" i="1"/>
  <c r="AH33" i="1"/>
  <c r="AJ33" i="1"/>
  <c r="AG13" i="1"/>
  <c r="AK13" i="1" s="1"/>
  <c r="AG14" i="1"/>
  <c r="AK14" i="1" s="1"/>
  <c r="AG16" i="1"/>
  <c r="AK16" i="1"/>
  <c r="AG17" i="1"/>
  <c r="AK17" i="1" s="1"/>
  <c r="AG18" i="1"/>
  <c r="AK18" i="1" s="1"/>
  <c r="AG20" i="1"/>
  <c r="AK20" i="1"/>
  <c r="AG21" i="1"/>
  <c r="AK21" i="1" s="1"/>
  <c r="AG22" i="1"/>
  <c r="AK22" i="1" s="1"/>
  <c r="AA12" i="1"/>
  <c r="Z12" i="1"/>
  <c r="AG3" i="1"/>
  <c r="AK3" i="1" s="1"/>
  <c r="AG4" i="1"/>
  <c r="AK4" i="1" s="1"/>
  <c r="AG5" i="1"/>
  <c r="AK5" i="1" s="1"/>
  <c r="AG6" i="1"/>
  <c r="AK6" i="1" s="1"/>
  <c r="AG7" i="1"/>
  <c r="AK7" i="1" s="1"/>
  <c r="AG9" i="1"/>
  <c r="AK9" i="1" s="1"/>
  <c r="AG10" i="1"/>
  <c r="AK10" i="1" s="1"/>
  <c r="AG11" i="1"/>
  <c r="AK11" i="1" s="1"/>
  <c r="E33" i="1"/>
  <c r="E54" i="1"/>
  <c r="E52" i="1"/>
  <c r="E51" i="1"/>
  <c r="E50" i="1"/>
  <c r="E49" i="1"/>
  <c r="E48" i="1"/>
  <c r="E47" i="1"/>
  <c r="E46" i="1"/>
  <c r="E45" i="1"/>
  <c r="E44" i="1"/>
  <c r="E43" i="1"/>
  <c r="I43" i="1" s="1"/>
  <c r="M43" i="1" s="1"/>
  <c r="Q43" i="1" s="1"/>
  <c r="U43" i="1" s="1"/>
  <c r="Y43" i="1" s="1"/>
  <c r="AC43" i="1" s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J12" i="1"/>
  <c r="K12" i="1"/>
  <c r="L12" i="1"/>
  <c r="F12" i="1"/>
  <c r="G12" i="1"/>
  <c r="M3" i="1"/>
  <c r="Q3" i="1" s="1"/>
  <c r="U3" i="1" s="1"/>
  <c r="Y3" i="1" s="1"/>
  <c r="AC3" i="1" s="1"/>
  <c r="M4" i="1"/>
  <c r="Q4" i="1"/>
  <c r="U4" i="1"/>
  <c r="Y4" i="1" s="1"/>
  <c r="AC4" i="1" s="1"/>
  <c r="M5" i="1"/>
  <c r="Q5" i="1"/>
  <c r="U5" i="1" s="1"/>
  <c r="Y5" i="1" s="1"/>
  <c r="AC5" i="1" s="1"/>
  <c r="M6" i="1"/>
  <c r="Q6" i="1" s="1"/>
  <c r="U6" i="1" s="1"/>
  <c r="Y6" i="1" s="1"/>
  <c r="AC6" i="1" s="1"/>
  <c r="M7" i="1"/>
  <c r="Q7" i="1" s="1"/>
  <c r="U7" i="1" s="1"/>
  <c r="Y7" i="1" s="1"/>
  <c r="AC7" i="1" s="1"/>
  <c r="AC8" i="1"/>
  <c r="AG8" i="1" s="1"/>
  <c r="AK8" i="1" s="1"/>
  <c r="M9" i="1"/>
  <c r="Q9" i="1"/>
  <c r="U9" i="1" s="1"/>
  <c r="Y9" i="1" s="1"/>
  <c r="AC9" i="1" s="1"/>
  <c r="M10" i="1"/>
  <c r="Q10" i="1" s="1"/>
  <c r="U10" i="1" s="1"/>
  <c r="Y10" i="1" s="1"/>
  <c r="AC10" i="1" s="1"/>
  <c r="M11" i="1"/>
  <c r="Q11" i="1" s="1"/>
  <c r="Y11" i="1"/>
  <c r="AC11" i="1"/>
  <c r="N12" i="1"/>
  <c r="O12" i="1"/>
  <c r="P12" i="1"/>
  <c r="S12" i="1"/>
  <c r="T12" i="1"/>
  <c r="V12" i="1"/>
  <c r="W12" i="1"/>
  <c r="X12" i="1"/>
  <c r="AB12" i="1"/>
  <c r="I33" i="1"/>
  <c r="M33" i="1" s="1"/>
  <c r="Q33" i="1" s="1"/>
  <c r="U33" i="1" s="1"/>
  <c r="Y33" i="1" s="1"/>
  <c r="AC33" i="1" s="1"/>
  <c r="I23" i="1"/>
  <c r="M23" i="1" s="1"/>
  <c r="Q23" i="1" s="1"/>
  <c r="U23" i="1" s="1"/>
  <c r="Y23" i="1" s="1"/>
  <c r="AC23" i="1" s="1"/>
  <c r="X54" i="1"/>
  <c r="AB54" i="1"/>
  <c r="T54" i="1"/>
  <c r="P54" i="1"/>
  <c r="L54" i="1"/>
  <c r="H54" i="1"/>
  <c r="D54" i="1"/>
  <c r="D43" i="1"/>
  <c r="H43" i="1"/>
  <c r="L43" i="1"/>
  <c r="P43" i="1"/>
  <c r="T43" i="1"/>
  <c r="X43" i="1"/>
  <c r="AB43" i="1"/>
  <c r="AB33" i="1"/>
  <c r="X33" i="1"/>
  <c r="T33" i="1"/>
  <c r="P33" i="1"/>
  <c r="L33" i="1"/>
  <c r="H33" i="1"/>
  <c r="D33" i="1"/>
  <c r="D23" i="1"/>
  <c r="H23" i="1"/>
  <c r="AG33" i="1" l="1"/>
  <c r="AK33" i="1" s="1"/>
  <c r="AG23" i="1"/>
  <c r="AK23" i="1" s="1"/>
  <c r="AG43" i="1"/>
  <c r="AK43" i="1" s="1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AA33" i="1"/>
  <c r="Z33" i="1"/>
  <c r="W33" i="1"/>
  <c r="V33" i="1"/>
  <c r="S33" i="1"/>
  <c r="R33" i="1"/>
  <c r="O33" i="1"/>
  <c r="N33" i="1"/>
  <c r="K33" i="1"/>
  <c r="J33" i="1"/>
  <c r="J43" i="1"/>
  <c r="K43" i="1"/>
  <c r="N43" i="1"/>
  <c r="O43" i="1"/>
  <c r="R43" i="1"/>
  <c r="S43" i="1"/>
  <c r="V43" i="1"/>
  <c r="W43" i="1"/>
  <c r="Z43" i="1"/>
  <c r="AA43" i="1"/>
  <c r="AA54" i="1"/>
  <c r="Z54" i="1"/>
  <c r="W54" i="1"/>
  <c r="V54" i="1"/>
  <c r="S54" i="1"/>
  <c r="R54" i="1"/>
  <c r="O54" i="1"/>
  <c r="N54" i="1"/>
  <c r="K54" i="1"/>
  <c r="A9" i="4"/>
  <c r="B9" i="4"/>
  <c r="C9" i="4"/>
  <c r="D9" i="4"/>
  <c r="E9" i="4"/>
  <c r="F9" i="4"/>
  <c r="G9" i="4"/>
  <c r="H9" i="4"/>
  <c r="I9" i="4"/>
  <c r="E12" i="1"/>
  <c r="I12" i="1" s="1"/>
  <c r="M12" i="1" s="1"/>
  <c r="Q12" i="1" s="1"/>
  <c r="U12" i="1" s="1"/>
  <c r="Y12" i="1" s="1"/>
  <c r="AC12" i="1" s="1"/>
  <c r="AG12" i="1" s="1"/>
  <c r="AK12" i="1" s="1"/>
  <c r="J54" i="1"/>
  <c r="G54" i="1"/>
  <c r="G43" i="1"/>
  <c r="G33" i="1"/>
  <c r="F33" i="1"/>
  <c r="F43" i="1"/>
  <c r="F54" i="1"/>
  <c r="I54" i="1" s="1"/>
  <c r="M54" i="1" s="1"/>
  <c r="Q54" i="1" s="1"/>
  <c r="U54" i="1" s="1"/>
  <c r="Y54" i="1" s="1"/>
  <c r="AC54" i="1" s="1"/>
  <c r="AG54" i="1" s="1"/>
  <c r="AK54" i="1" s="1"/>
  <c r="B54" i="1"/>
  <c r="B43" i="1"/>
  <c r="B33" i="1"/>
  <c r="B23" i="1"/>
  <c r="B12" i="1"/>
  <c r="AC53" i="1"/>
  <c r="I52" i="1"/>
  <c r="I51" i="1"/>
  <c r="M51" i="1" s="1"/>
  <c r="Q51" i="1" s="1"/>
  <c r="U51" i="1" s="1"/>
  <c r="Y51" i="1" s="1"/>
  <c r="AC51" i="1" s="1"/>
  <c r="I50" i="1"/>
  <c r="M50" i="1" s="1"/>
  <c r="Q50" i="1" s="1"/>
  <c r="U50" i="1" s="1"/>
  <c r="Y50" i="1" s="1"/>
  <c r="AC50" i="1" s="1"/>
  <c r="AG50" i="1" s="1"/>
  <c r="AK50" i="1" s="1"/>
  <c r="I49" i="1"/>
  <c r="M49" i="1" s="1"/>
  <c r="Q49" i="1" s="1"/>
  <c r="U49" i="1" s="1"/>
  <c r="Y49" i="1" s="1"/>
  <c r="AC49" i="1" s="1"/>
  <c r="I48" i="1"/>
  <c r="I47" i="1"/>
  <c r="M47" i="1" s="1"/>
  <c r="Q47" i="1" s="1"/>
  <c r="U47" i="1" s="1"/>
  <c r="Y47" i="1" s="1"/>
  <c r="AC47" i="1" s="1"/>
  <c r="AG47" i="1" s="1"/>
  <c r="AK47" i="1" s="1"/>
  <c r="I46" i="1"/>
  <c r="I45" i="1"/>
  <c r="I44" i="1"/>
  <c r="I41" i="1"/>
  <c r="M41" i="1" s="1"/>
  <c r="Q41" i="1" s="1"/>
  <c r="U41" i="1" s="1"/>
  <c r="Y41" i="1" s="1"/>
  <c r="AC41" i="1" s="1"/>
  <c r="I40" i="1"/>
  <c r="I39" i="1"/>
  <c r="I38" i="1"/>
  <c r="I37" i="1"/>
  <c r="M37" i="1" s="1"/>
  <c r="Q37" i="1" s="1"/>
  <c r="U37" i="1" s="1"/>
  <c r="Y37" i="1" s="1"/>
  <c r="AC37" i="1" s="1"/>
  <c r="I36" i="1"/>
  <c r="M36" i="1" s="1"/>
  <c r="Q36" i="1" s="1"/>
  <c r="U36" i="1" s="1"/>
  <c r="Y36" i="1" s="1"/>
  <c r="AC36" i="1" s="1"/>
  <c r="I35" i="1"/>
  <c r="I34" i="1"/>
  <c r="I32" i="1"/>
  <c r="I31" i="1"/>
  <c r="I30" i="1"/>
  <c r="M30" i="1" s="1"/>
  <c r="Q30" i="1" s="1"/>
  <c r="U30" i="1" s="1"/>
  <c r="Y30" i="1" s="1"/>
  <c r="AC30" i="1" s="1"/>
  <c r="I29" i="1"/>
  <c r="I28" i="1"/>
  <c r="M28" i="1" s="1"/>
  <c r="Q28" i="1" s="1"/>
  <c r="U28" i="1" s="1"/>
  <c r="Y28" i="1" s="1"/>
  <c r="AC28" i="1" s="1"/>
  <c r="I27" i="1"/>
  <c r="I26" i="1"/>
  <c r="M26" i="1" s="1"/>
  <c r="Q26" i="1" s="1"/>
  <c r="U26" i="1" s="1"/>
  <c r="Y26" i="1" s="1"/>
  <c r="AC26" i="1" s="1"/>
  <c r="I25" i="1"/>
  <c r="M25" i="1" s="1"/>
  <c r="Q25" i="1" s="1"/>
  <c r="U25" i="1" s="1"/>
  <c r="Y25" i="1" s="1"/>
  <c r="AC25" i="1" s="1"/>
  <c r="I24" i="1"/>
  <c r="M24" i="1" s="1"/>
  <c r="Q24" i="1" s="1"/>
  <c r="U24" i="1" s="1"/>
  <c r="Y24" i="1" s="1"/>
  <c r="AC24" i="1" s="1"/>
  <c r="M27" i="1"/>
  <c r="M29" i="1"/>
  <c r="M31" i="1"/>
  <c r="M32" i="1"/>
  <c r="Q32" i="1" s="1"/>
  <c r="U32" i="1" s="1"/>
  <c r="Y32" i="1" s="1"/>
  <c r="AC32" i="1" s="1"/>
  <c r="M34" i="1"/>
  <c r="M35" i="1"/>
  <c r="M38" i="1"/>
  <c r="M39" i="1"/>
  <c r="Q39" i="1" s="1"/>
  <c r="U39" i="1" s="1"/>
  <c r="Y39" i="1" s="1"/>
  <c r="AC39" i="1" s="1"/>
  <c r="M40" i="1"/>
  <c r="AC42" i="1"/>
  <c r="M44" i="1"/>
  <c r="M45" i="1"/>
  <c r="Q45" i="1" s="1"/>
  <c r="U45" i="1" s="1"/>
  <c r="Y45" i="1" s="1"/>
  <c r="AC45" i="1" s="1"/>
  <c r="AG45" i="1" s="1"/>
  <c r="AK45" i="1" s="1"/>
  <c r="M46" i="1"/>
  <c r="M48" i="1"/>
  <c r="Q48" i="1" s="1"/>
  <c r="U48" i="1" s="1"/>
  <c r="Y48" i="1" s="1"/>
  <c r="AC48" i="1" s="1"/>
  <c r="M52" i="1"/>
  <c r="Q52" i="1" s="1"/>
  <c r="U52" i="1" s="1"/>
  <c r="Y52" i="1" s="1"/>
  <c r="AC52" i="1" s="1"/>
  <c r="Q46" i="1"/>
  <c r="U46" i="1" s="1"/>
  <c r="Y46" i="1" s="1"/>
  <c r="AC46" i="1" s="1"/>
  <c r="AG46" i="1" s="1"/>
  <c r="AK46" i="1" s="1"/>
  <c r="Q44" i="1"/>
  <c r="U44" i="1" s="1"/>
  <c r="Y44" i="1" s="1"/>
  <c r="AC44" i="1" s="1"/>
  <c r="Q40" i="1"/>
  <c r="U40" i="1" s="1"/>
  <c r="Y40" i="1" s="1"/>
  <c r="AC40" i="1" s="1"/>
  <c r="Q38" i="1"/>
  <c r="U38" i="1" s="1"/>
  <c r="Y38" i="1" s="1"/>
  <c r="AC38" i="1" s="1"/>
  <c r="Q35" i="1"/>
  <c r="U35" i="1" s="1"/>
  <c r="Y35" i="1" s="1"/>
  <c r="AC35" i="1" s="1"/>
  <c r="Q34" i="1"/>
  <c r="U34" i="1" s="1"/>
  <c r="Y34" i="1" s="1"/>
  <c r="AC34" i="1" s="1"/>
  <c r="Q31" i="1"/>
  <c r="U31" i="1" s="1"/>
  <c r="Y31" i="1" s="1"/>
  <c r="AC31" i="1" s="1"/>
  <c r="Q29" i="1"/>
  <c r="U29" i="1" s="1"/>
  <c r="Y29" i="1" s="1"/>
  <c r="AC29" i="1" s="1"/>
  <c r="Q27" i="1"/>
  <c r="U27" i="1" s="1"/>
  <c r="Y27" i="1" s="1"/>
  <c r="AC27" i="1" s="1"/>
  <c r="I22" i="1"/>
  <c r="M22" i="1" s="1"/>
  <c r="Q22" i="1" s="1"/>
  <c r="U22" i="1" s="1"/>
  <c r="Y22" i="1" s="1"/>
  <c r="AC22" i="1" s="1"/>
  <c r="I21" i="1"/>
  <c r="M21" i="1" s="1"/>
  <c r="Q21" i="1" s="1"/>
  <c r="U21" i="1" s="1"/>
  <c r="Y21" i="1" s="1"/>
  <c r="AC21" i="1" s="1"/>
  <c r="I20" i="1"/>
  <c r="M20" i="1" s="1"/>
  <c r="Q20" i="1" s="1"/>
  <c r="U20" i="1" s="1"/>
  <c r="Y20" i="1" s="1"/>
  <c r="AC20" i="1" s="1"/>
  <c r="I18" i="1"/>
  <c r="M18" i="1" s="1"/>
  <c r="Q18" i="1" s="1"/>
  <c r="U18" i="1" s="1"/>
  <c r="Y18" i="1" s="1"/>
  <c r="AC18" i="1" s="1"/>
  <c r="I17" i="1"/>
  <c r="M17" i="1" s="1"/>
  <c r="Q17" i="1" s="1"/>
  <c r="U17" i="1" s="1"/>
  <c r="Y17" i="1" s="1"/>
  <c r="AC17" i="1" s="1"/>
  <c r="I16" i="1"/>
  <c r="M16" i="1" s="1"/>
  <c r="Q16" i="1" s="1"/>
  <c r="U16" i="1" s="1"/>
  <c r="Y16" i="1" s="1"/>
  <c r="AC16" i="1" s="1"/>
  <c r="I14" i="1"/>
  <c r="M14" i="1" s="1"/>
  <c r="Q14" i="1" s="1"/>
  <c r="U14" i="1" s="1"/>
  <c r="Y14" i="1" s="1"/>
  <c r="AC14" i="1" s="1"/>
  <c r="I13" i="1"/>
  <c r="M13" i="1" s="1"/>
  <c r="Q13" i="1" s="1"/>
  <c r="U13" i="1" s="1"/>
  <c r="Y13" i="1" s="1"/>
  <c r="AC13" i="1" s="1"/>
  <c r="I10" i="1"/>
  <c r="I9" i="1"/>
  <c r="I7" i="1"/>
  <c r="I6" i="1"/>
  <c r="I5" i="1"/>
  <c r="I4" i="1"/>
  <c r="E4" i="1"/>
  <c r="E5" i="1"/>
  <c r="E11" i="1"/>
  <c r="I11" i="1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ER7" i="4"/>
  <c r="ES7" i="4"/>
  <c r="ET7" i="4"/>
  <c r="EU7" i="4"/>
  <c r="EV7" i="4"/>
  <c r="EW7" i="4"/>
  <c r="EX7" i="4"/>
  <c r="EY7" i="4"/>
  <c r="EZ7" i="4"/>
  <c r="FA7" i="4"/>
  <c r="FB7" i="4"/>
  <c r="FC7" i="4"/>
  <c r="FD7" i="4"/>
  <c r="FE7" i="4"/>
  <c r="FF7" i="4"/>
  <c r="FG7" i="4"/>
  <c r="FH7" i="4"/>
  <c r="FI7" i="4"/>
  <c r="FJ7" i="4"/>
  <c r="FK7" i="4"/>
  <c r="FL7" i="4"/>
  <c r="FM7" i="4"/>
  <c r="FN7" i="4"/>
  <c r="FO7" i="4"/>
  <c r="FP7" i="4"/>
  <c r="FQ7" i="4"/>
  <c r="FR7" i="4"/>
  <c r="FS7" i="4"/>
  <c r="FT7" i="4"/>
  <c r="FU7" i="4"/>
  <c r="FV7" i="4"/>
  <c r="FW7" i="4"/>
  <c r="FX7" i="4"/>
  <c r="FY7" i="4"/>
  <c r="FZ7" i="4"/>
  <c r="GA7" i="4"/>
  <c r="GB7" i="4"/>
  <c r="GC7" i="4"/>
  <c r="GD7" i="4"/>
  <c r="GE7" i="4"/>
  <c r="GF7" i="4"/>
  <c r="GG7" i="4"/>
  <c r="GH7" i="4"/>
  <c r="GI7" i="4"/>
  <c r="GJ7" i="4"/>
  <c r="GK7" i="4"/>
  <c r="GL7" i="4"/>
  <c r="GM7" i="4"/>
  <c r="GN7" i="4"/>
  <c r="GO7" i="4"/>
  <c r="GP7" i="4"/>
  <c r="GQ7" i="4"/>
  <c r="GR7" i="4"/>
  <c r="GS7" i="4"/>
  <c r="GT7" i="4"/>
  <c r="GU7" i="4"/>
  <c r="GV7" i="4"/>
  <c r="GW7" i="4"/>
  <c r="GX7" i="4"/>
  <c r="GY7" i="4"/>
  <c r="GZ7" i="4"/>
  <c r="HA7" i="4"/>
  <c r="HB7" i="4"/>
  <c r="HC7" i="4"/>
  <c r="HD7" i="4"/>
  <c r="HE7" i="4"/>
  <c r="HF7" i="4"/>
  <c r="HG7" i="4"/>
  <c r="HH7" i="4"/>
  <c r="HI7" i="4"/>
  <c r="HJ7" i="4"/>
  <c r="HK7" i="4"/>
  <c r="HL7" i="4"/>
  <c r="HM7" i="4"/>
  <c r="HN7" i="4"/>
  <c r="HO7" i="4"/>
  <c r="HP7" i="4"/>
  <c r="HQ7" i="4"/>
  <c r="HR7" i="4"/>
  <c r="HS7" i="4"/>
  <c r="HT7" i="4"/>
  <c r="HU7" i="4"/>
  <c r="HV7" i="4"/>
  <c r="HW7" i="4"/>
  <c r="HX7" i="4"/>
  <c r="HY7" i="4"/>
  <c r="HZ7" i="4"/>
  <c r="IA7" i="4"/>
  <c r="IB7" i="4"/>
  <c r="IC7" i="4"/>
  <c r="ID7" i="4"/>
  <c r="IE7" i="4"/>
  <c r="IF7" i="4"/>
  <c r="IG7" i="4"/>
  <c r="IH7" i="4"/>
  <c r="II7" i="4"/>
  <c r="IJ7" i="4"/>
  <c r="IK7" i="4"/>
  <c r="IL7" i="4"/>
  <c r="IM7" i="4"/>
  <c r="IN7" i="4"/>
  <c r="IO7" i="4"/>
  <c r="IP7" i="4"/>
  <c r="IQ7" i="4"/>
  <c r="IR7" i="4"/>
  <c r="IS7" i="4"/>
  <c r="IT7" i="4"/>
  <c r="IU7" i="4"/>
  <c r="IV7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DA6" i="4"/>
  <c r="DB6" i="4"/>
  <c r="DC6" i="4"/>
  <c r="DD6" i="4"/>
  <c r="DE6" i="4"/>
  <c r="DF6" i="4"/>
  <c r="DG6" i="4"/>
  <c r="DH6" i="4"/>
  <c r="DI6" i="4"/>
  <c r="DJ6" i="4"/>
  <c r="DK6" i="4"/>
  <c r="DL6" i="4"/>
  <c r="DM6" i="4"/>
  <c r="DN6" i="4"/>
  <c r="DO6" i="4"/>
  <c r="DP6" i="4"/>
  <c r="DQ6" i="4"/>
  <c r="DR6" i="4"/>
  <c r="DS6" i="4"/>
  <c r="DT6" i="4"/>
  <c r="DU6" i="4"/>
  <c r="DV6" i="4"/>
  <c r="DW6" i="4"/>
  <c r="DX6" i="4"/>
  <c r="DY6" i="4"/>
  <c r="DZ6" i="4"/>
  <c r="EA6" i="4"/>
  <c r="EB6" i="4"/>
  <c r="EC6" i="4"/>
  <c r="ED6" i="4"/>
  <c r="EE6" i="4"/>
  <c r="EF6" i="4"/>
  <c r="EG6" i="4"/>
  <c r="EH6" i="4"/>
  <c r="EI6" i="4"/>
  <c r="EJ6" i="4"/>
  <c r="EK6" i="4"/>
  <c r="EL6" i="4"/>
  <c r="EM6" i="4"/>
  <c r="EN6" i="4"/>
  <c r="EO6" i="4"/>
  <c r="EP6" i="4"/>
  <c r="EQ6" i="4"/>
  <c r="ER6" i="4"/>
  <c r="ES6" i="4"/>
  <c r="ET6" i="4"/>
  <c r="EU6" i="4"/>
  <c r="EV6" i="4"/>
  <c r="EW6" i="4"/>
  <c r="EX6" i="4"/>
  <c r="EY6" i="4"/>
  <c r="EZ6" i="4"/>
  <c r="FA6" i="4"/>
  <c r="FB6" i="4"/>
  <c r="FC6" i="4"/>
  <c r="FD6" i="4"/>
  <c r="FE6" i="4"/>
  <c r="FF6" i="4"/>
  <c r="FG6" i="4"/>
  <c r="FH6" i="4"/>
  <c r="FI6" i="4"/>
  <c r="FJ6" i="4"/>
  <c r="FK6" i="4"/>
  <c r="FL6" i="4"/>
  <c r="FM6" i="4"/>
  <c r="FN6" i="4"/>
  <c r="FO6" i="4"/>
  <c r="FP6" i="4"/>
  <c r="FQ6" i="4"/>
  <c r="FR6" i="4"/>
  <c r="FS6" i="4"/>
  <c r="FT6" i="4"/>
  <c r="FU6" i="4"/>
  <c r="FV6" i="4"/>
  <c r="FW6" i="4"/>
  <c r="FX6" i="4"/>
  <c r="FY6" i="4"/>
  <c r="FZ6" i="4"/>
  <c r="GA6" i="4"/>
  <c r="GB6" i="4"/>
  <c r="GC6" i="4"/>
  <c r="GD6" i="4"/>
  <c r="GE6" i="4"/>
  <c r="GF6" i="4"/>
  <c r="GG6" i="4"/>
  <c r="GH6" i="4"/>
  <c r="GI6" i="4"/>
  <c r="GJ6" i="4"/>
  <c r="GK6" i="4"/>
  <c r="GL6" i="4"/>
  <c r="GM6" i="4"/>
  <c r="GN6" i="4"/>
  <c r="GO6" i="4"/>
  <c r="GP6" i="4"/>
  <c r="GQ6" i="4"/>
  <c r="GR6" i="4"/>
  <c r="GS6" i="4"/>
  <c r="GT6" i="4"/>
  <c r="GU6" i="4"/>
  <c r="GV6" i="4"/>
  <c r="GW6" i="4"/>
  <c r="GX6" i="4"/>
  <c r="GY6" i="4"/>
  <c r="GZ6" i="4"/>
  <c r="HA6" i="4"/>
  <c r="HB6" i="4"/>
  <c r="HC6" i="4"/>
  <c r="HD6" i="4"/>
  <c r="HE6" i="4"/>
  <c r="HF6" i="4"/>
  <c r="HG6" i="4"/>
  <c r="HH6" i="4"/>
  <c r="HI6" i="4"/>
  <c r="HJ6" i="4"/>
  <c r="HK6" i="4"/>
  <c r="HL6" i="4"/>
  <c r="HM6" i="4"/>
  <c r="HN6" i="4"/>
  <c r="HO6" i="4"/>
  <c r="HP6" i="4"/>
  <c r="HQ6" i="4"/>
  <c r="HR6" i="4"/>
  <c r="HS6" i="4"/>
  <c r="HT6" i="4"/>
  <c r="HU6" i="4"/>
  <c r="HV6" i="4"/>
  <c r="HW6" i="4"/>
  <c r="HX6" i="4"/>
  <c r="HY6" i="4"/>
  <c r="HZ6" i="4"/>
  <c r="IA6" i="4"/>
  <c r="IB6" i="4"/>
  <c r="IC6" i="4"/>
  <c r="ID6" i="4"/>
  <c r="IE6" i="4"/>
  <c r="IF6" i="4"/>
  <c r="IG6" i="4"/>
  <c r="IH6" i="4"/>
  <c r="II6" i="4"/>
  <c r="IJ6" i="4"/>
  <c r="IK6" i="4"/>
  <c r="IL6" i="4"/>
  <c r="IM6" i="4"/>
  <c r="IN6" i="4"/>
  <c r="IO6" i="4"/>
  <c r="IP6" i="4"/>
  <c r="IQ6" i="4"/>
  <c r="IR6" i="4"/>
  <c r="IS6" i="4"/>
  <c r="IT6" i="4"/>
  <c r="IU6" i="4"/>
  <c r="IV6" i="4"/>
  <c r="A5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  <c r="HS5" i="4"/>
  <c r="HT5" i="4"/>
  <c r="HU5" i="4"/>
  <c r="HV5" i="4"/>
  <c r="HW5" i="4"/>
  <c r="HX5" i="4"/>
  <c r="HY5" i="4"/>
  <c r="HZ5" i="4"/>
  <c r="IA5" i="4"/>
  <c r="IB5" i="4"/>
  <c r="IC5" i="4"/>
  <c r="ID5" i="4"/>
  <c r="IE5" i="4"/>
  <c r="IF5" i="4"/>
  <c r="IG5" i="4"/>
  <c r="IH5" i="4"/>
  <c r="II5" i="4"/>
  <c r="IJ5" i="4"/>
  <c r="IK5" i="4"/>
  <c r="IL5" i="4"/>
  <c r="IM5" i="4"/>
  <c r="IN5" i="4"/>
  <c r="IO5" i="4"/>
  <c r="IP5" i="4"/>
  <c r="IQ5" i="4"/>
  <c r="IR5" i="4"/>
  <c r="IS5" i="4"/>
  <c r="IT5" i="4"/>
  <c r="IU5" i="4"/>
  <c r="IV5" i="4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ER4" i="4"/>
  <c r="ES4" i="4"/>
  <c r="ET4" i="4"/>
  <c r="EU4" i="4"/>
  <c r="EV4" i="4"/>
  <c r="EW4" i="4"/>
  <c r="EX4" i="4"/>
  <c r="EY4" i="4"/>
  <c r="EZ4" i="4"/>
  <c r="FA4" i="4"/>
  <c r="FB4" i="4"/>
  <c r="FC4" i="4"/>
  <c r="FD4" i="4"/>
  <c r="FE4" i="4"/>
  <c r="FF4" i="4"/>
  <c r="FG4" i="4"/>
  <c r="FH4" i="4"/>
  <c r="FI4" i="4"/>
  <c r="FJ4" i="4"/>
  <c r="FK4" i="4"/>
  <c r="FL4" i="4"/>
  <c r="FM4" i="4"/>
  <c r="FN4" i="4"/>
  <c r="FO4" i="4"/>
  <c r="FP4" i="4"/>
  <c r="FQ4" i="4"/>
  <c r="FR4" i="4"/>
  <c r="FS4" i="4"/>
  <c r="FT4" i="4"/>
  <c r="FU4" i="4"/>
  <c r="FV4" i="4"/>
  <c r="FW4" i="4"/>
  <c r="FX4" i="4"/>
  <c r="FY4" i="4"/>
  <c r="FZ4" i="4"/>
  <c r="GA4" i="4"/>
  <c r="GB4" i="4"/>
  <c r="GC4" i="4"/>
  <c r="GD4" i="4"/>
  <c r="GE4" i="4"/>
  <c r="GF4" i="4"/>
  <c r="GG4" i="4"/>
  <c r="GH4" i="4"/>
  <c r="GI4" i="4"/>
  <c r="GJ4" i="4"/>
  <c r="GK4" i="4"/>
  <c r="GL4" i="4"/>
  <c r="GM4" i="4"/>
  <c r="GN4" i="4"/>
  <c r="GO4" i="4"/>
  <c r="GP4" i="4"/>
  <c r="GQ4" i="4"/>
  <c r="GR4" i="4"/>
  <c r="GS4" i="4"/>
  <c r="GT4" i="4"/>
  <c r="GU4" i="4"/>
  <c r="GV4" i="4"/>
  <c r="GW4" i="4"/>
  <c r="GX4" i="4"/>
  <c r="GY4" i="4"/>
  <c r="GZ4" i="4"/>
  <c r="HA4" i="4"/>
  <c r="HB4" i="4"/>
  <c r="HC4" i="4"/>
  <c r="HD4" i="4"/>
  <c r="HE4" i="4"/>
  <c r="HF4" i="4"/>
  <c r="HG4" i="4"/>
  <c r="HH4" i="4"/>
  <c r="HI4" i="4"/>
  <c r="HJ4" i="4"/>
  <c r="HK4" i="4"/>
  <c r="HL4" i="4"/>
  <c r="HM4" i="4"/>
  <c r="HN4" i="4"/>
  <c r="HO4" i="4"/>
  <c r="HP4" i="4"/>
  <c r="HQ4" i="4"/>
  <c r="HR4" i="4"/>
  <c r="HS4" i="4"/>
  <c r="HT4" i="4"/>
  <c r="HU4" i="4"/>
  <c r="HV4" i="4"/>
  <c r="HW4" i="4"/>
  <c r="HX4" i="4"/>
  <c r="HY4" i="4"/>
  <c r="HZ4" i="4"/>
  <c r="IA4" i="4"/>
  <c r="IB4" i="4"/>
  <c r="IC4" i="4"/>
  <c r="ID4" i="4"/>
  <c r="IE4" i="4"/>
  <c r="IF4" i="4"/>
  <c r="IG4" i="4"/>
  <c r="IH4" i="4"/>
  <c r="II4" i="4"/>
  <c r="IJ4" i="4"/>
  <c r="IK4" i="4"/>
  <c r="IL4" i="4"/>
  <c r="IM4" i="4"/>
  <c r="IN4" i="4"/>
  <c r="IO4" i="4"/>
  <c r="IP4" i="4"/>
  <c r="IQ4" i="4"/>
  <c r="IR4" i="4"/>
  <c r="IS4" i="4"/>
  <c r="IT4" i="4"/>
  <c r="IU4" i="4"/>
  <c r="IV4" i="4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E6" i="1"/>
  <c r="E7" i="1"/>
  <c r="E9" i="1"/>
  <c r="E10" i="1"/>
  <c r="I3" i="1"/>
  <c r="E3" i="1"/>
  <c r="A2" i="4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1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BC1" i="4"/>
  <c r="BD1" i="4"/>
  <c r="BE1" i="4"/>
  <c r="BF1" i="4"/>
  <c r="BG1" i="4"/>
  <c r="BH1" i="4"/>
  <c r="BI1" i="4"/>
  <c r="BJ1" i="4"/>
  <c r="BK1" i="4"/>
  <c r="BL1" i="4"/>
  <c r="BM1" i="4"/>
  <c r="BN1" i="4"/>
  <c r="BO1" i="4"/>
  <c r="BP1" i="4"/>
  <c r="BQ1" i="4"/>
  <c r="BR1" i="4"/>
  <c r="BS1" i="4"/>
  <c r="BT1" i="4"/>
  <c r="BU1" i="4"/>
  <c r="BV1" i="4"/>
  <c r="BW1" i="4"/>
  <c r="BX1" i="4"/>
  <c r="BY1" i="4"/>
  <c r="BZ1" i="4"/>
  <c r="CA1" i="4"/>
  <c r="CB1" i="4"/>
  <c r="CC1" i="4"/>
  <c r="CD1" i="4"/>
  <c r="CE1" i="4"/>
  <c r="CF1" i="4"/>
  <c r="CG1" i="4"/>
  <c r="CH1" i="4"/>
  <c r="CI1" i="4"/>
  <c r="CJ1" i="4"/>
  <c r="CK1" i="4"/>
  <c r="CL1" i="4"/>
  <c r="CM1" i="4"/>
  <c r="CN1" i="4"/>
  <c r="CO1" i="4"/>
  <c r="CP1" i="4"/>
  <c r="CQ1" i="4"/>
  <c r="CR1" i="4"/>
  <c r="CS1" i="4"/>
  <c r="CT1" i="4"/>
  <c r="CU1" i="4"/>
  <c r="CV1" i="4"/>
  <c r="CW1" i="4"/>
  <c r="CX1" i="4"/>
  <c r="CY1" i="4"/>
  <c r="CZ1" i="4"/>
  <c r="DA1" i="4"/>
  <c r="DB1" i="4"/>
  <c r="DC1" i="4"/>
  <c r="DD1" i="4"/>
  <c r="DE1" i="4"/>
  <c r="DF1" i="4"/>
  <c r="DG1" i="4"/>
  <c r="DH1" i="4"/>
  <c r="DI1" i="4"/>
  <c r="DJ1" i="4"/>
  <c r="DK1" i="4"/>
  <c r="DL1" i="4"/>
  <c r="DM1" i="4"/>
  <c r="DN1" i="4"/>
  <c r="DO1" i="4"/>
  <c r="DP1" i="4"/>
  <c r="DQ1" i="4"/>
  <c r="DR1" i="4"/>
  <c r="DS1" i="4"/>
  <c r="DT1" i="4"/>
  <c r="DU1" i="4"/>
  <c r="DV1" i="4"/>
  <c r="DW1" i="4"/>
  <c r="DX1" i="4"/>
  <c r="DY1" i="4"/>
  <c r="DZ1" i="4"/>
  <c r="EA1" i="4"/>
  <c r="EB1" i="4"/>
  <c r="EC1" i="4"/>
  <c r="ED1" i="4"/>
  <c r="EE1" i="4"/>
  <c r="EF1" i="4"/>
  <c r="EG1" i="4"/>
  <c r="EH1" i="4"/>
  <c r="EI1" i="4"/>
  <c r="EJ1" i="4"/>
  <c r="EK1" i="4"/>
  <c r="EL1" i="4"/>
  <c r="EM1" i="4"/>
  <c r="EN1" i="4"/>
  <c r="EO1" i="4"/>
  <c r="EP1" i="4"/>
  <c r="EQ1" i="4"/>
  <c r="ER1" i="4"/>
  <c r="ES1" i="4"/>
  <c r="ET1" i="4"/>
  <c r="EU1" i="4"/>
  <c r="EV1" i="4"/>
  <c r="EW1" i="4"/>
  <c r="EX1" i="4"/>
  <c r="EY1" i="4"/>
  <c r="EZ1" i="4"/>
  <c r="FA1" i="4"/>
  <c r="FB1" i="4"/>
  <c r="FC1" i="4"/>
  <c r="FD1" i="4"/>
  <c r="FE1" i="4"/>
  <c r="FF1" i="4"/>
  <c r="FG1" i="4"/>
  <c r="FH1" i="4"/>
  <c r="FI1" i="4"/>
  <c r="FJ1" i="4"/>
  <c r="FK1" i="4"/>
  <c r="FL1" i="4"/>
  <c r="FM1" i="4"/>
</calcChain>
</file>

<file path=xl/sharedStrings.xml><?xml version="1.0" encoding="utf-8"?>
<sst xmlns="http://schemas.openxmlformats.org/spreadsheetml/2006/main" count="70" uniqueCount="62">
  <si>
    <t>Brkoš</t>
  </si>
  <si>
    <t>Boris</t>
  </si>
  <si>
    <t>Palec</t>
  </si>
  <si>
    <t>Nelka</t>
  </si>
  <si>
    <t>Klára</t>
  </si>
  <si>
    <t>Denis</t>
  </si>
  <si>
    <t>Vojta S.</t>
  </si>
  <si>
    <t>Aleš J.</t>
  </si>
  <si>
    <t>Aduš</t>
  </si>
  <si>
    <t>Zelená</t>
  </si>
  <si>
    <t>Zdeňan</t>
  </si>
  <si>
    <t xml:space="preserve">Vojta </t>
  </si>
  <si>
    <t>Zazu</t>
  </si>
  <si>
    <t>Barbie</t>
  </si>
  <si>
    <t>Týna</t>
  </si>
  <si>
    <t>Ondra S.</t>
  </si>
  <si>
    <t>Prokop</t>
  </si>
  <si>
    <t>Pepa</t>
  </si>
  <si>
    <t>Viky</t>
  </si>
  <si>
    <t>Adélka B.</t>
  </si>
  <si>
    <t>Modrá</t>
  </si>
  <si>
    <t>Filip</t>
  </si>
  <si>
    <t>Willi</t>
  </si>
  <si>
    <t>Mároš</t>
  </si>
  <si>
    <t>Sára</t>
  </si>
  <si>
    <t>Míša</t>
  </si>
  <si>
    <t>Teo</t>
  </si>
  <si>
    <t>Michal Č.</t>
  </si>
  <si>
    <t>Leontýnka</t>
  </si>
  <si>
    <t>Jana F.</t>
  </si>
  <si>
    <t>Červená</t>
  </si>
  <si>
    <t>Doris</t>
  </si>
  <si>
    <t>Ptak</t>
  </si>
  <si>
    <t>Kika</t>
  </si>
  <si>
    <t>Gabča</t>
  </si>
  <si>
    <t>Martin B.</t>
  </si>
  <si>
    <t>Kačka</t>
  </si>
  <si>
    <t>Maruška</t>
  </si>
  <si>
    <t>Linda</t>
  </si>
  <si>
    <t>Mirečka</t>
  </si>
  <si>
    <t>Žlutá</t>
  </si>
  <si>
    <t>Lukáš H.</t>
  </si>
  <si>
    <t>Mikeš</t>
  </si>
  <si>
    <t>Jiříček</t>
  </si>
  <si>
    <t>Blondy</t>
  </si>
  <si>
    <t>Baš</t>
  </si>
  <si>
    <t>Ondra V.</t>
  </si>
  <si>
    <t>Tamča</t>
  </si>
  <si>
    <t>Babu</t>
  </si>
  <si>
    <t>Sanitka</t>
  </si>
  <si>
    <t>Nela D.</t>
  </si>
  <si>
    <t>Bílá</t>
  </si>
  <si>
    <t>S</t>
  </si>
  <si>
    <t>Neděle 24.7.</t>
  </si>
  <si>
    <t>Pondělí 25.7.</t>
  </si>
  <si>
    <t>Úterý 26.7.</t>
  </si>
  <si>
    <t>Středa 27.7.</t>
  </si>
  <si>
    <t>Čtvrtek 28.7.</t>
  </si>
  <si>
    <t>Pátek 29.7.</t>
  </si>
  <si>
    <t>Sobota 30.7.</t>
  </si>
  <si>
    <t>Neděle 31.7.</t>
  </si>
  <si>
    <t>Pondělí 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</si>
</sst>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2" borderId="10" xfId="0" applyFill="1" applyBorder="1"/>
    <xf numFmtId="0" fontId="0" fillId="3" borderId="11" xfId="0" applyFill="1" applyBorder="1"/>
    <xf numFmtId="0" fontId="0" fillId="3" borderId="3" xfId="0" applyFill="1" applyBorder="1"/>
    <xf numFmtId="0" fontId="0" fillId="0" borderId="14" xfId="0" applyBorder="1"/>
    <xf numFmtId="0" fontId="0" fillId="0" borderId="15" xfId="0" applyBorder="1"/>
    <xf numFmtId="0" fontId="0" fillId="3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2" borderId="1" xfId="0" applyFill="1" applyBorder="1"/>
    <xf numFmtId="0" fontId="0" fillId="5" borderId="11" xfId="0" applyFill="1" applyBorder="1"/>
    <xf numFmtId="0" fontId="0" fillId="5" borderId="3" xfId="0" applyFill="1" applyBorder="1"/>
    <xf numFmtId="0" fontId="0" fillId="5" borderId="17" xfId="0" applyFill="1" applyBorder="1"/>
    <xf numFmtId="0" fontId="0" fillId="5" borderId="18" xfId="0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1" xfId="0" applyBorder="1"/>
    <xf numFmtId="0" fontId="0" fillId="0" borderId="3" xfId="0" applyBorder="1"/>
    <xf numFmtId="0" fontId="0" fillId="0" borderId="17" xfId="0" applyBorder="1"/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38100</xdr:rowOff>
    </xdr:from>
    <xdr:to>
      <xdr:col>1</xdr:col>
      <xdr:colOff>409575</xdr:colOff>
      <xdr:row>1</xdr:row>
      <xdr:rowOff>192190</xdr:rowOff>
    </xdr:to>
    <xdr:pic>
      <xdr:nvPicPr>
        <xdr:cNvPr id="3" name="Obrázek 2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28600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209551</xdr:colOff>
      <xdr:row>1</xdr:row>
      <xdr:rowOff>9525</xdr:rowOff>
    </xdr:from>
    <xdr:to>
      <xdr:col>2</xdr:col>
      <xdr:colOff>351137</xdr:colOff>
      <xdr:row>1</xdr:row>
      <xdr:rowOff>190500</xdr:rowOff>
    </xdr:to>
    <xdr:pic>
      <xdr:nvPicPr>
        <xdr:cNvPr id="7" name="Obrázek 6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190501</xdr:colOff>
      <xdr:row>1</xdr:row>
      <xdr:rowOff>38102</xdr:rowOff>
    </xdr:from>
    <xdr:to>
      <xdr:col>3</xdr:col>
      <xdr:colOff>333375</xdr:colOff>
      <xdr:row>1</xdr:row>
      <xdr:rowOff>180976</xdr:rowOff>
    </xdr:to>
    <xdr:pic>
      <xdr:nvPicPr>
        <xdr:cNvPr id="9" name="Obrázek 8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6" y="228602"/>
          <a:ext cx="142874" cy="14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</xdr:colOff>
      <xdr:row>1</xdr:row>
      <xdr:rowOff>57150</xdr:rowOff>
    </xdr:from>
    <xdr:to>
      <xdr:col>5</xdr:col>
      <xdr:colOff>409575</xdr:colOff>
      <xdr:row>1</xdr:row>
      <xdr:rowOff>192190</xdr:rowOff>
    </xdr:to>
    <xdr:pic>
      <xdr:nvPicPr>
        <xdr:cNvPr id="10" name="Obrázek 9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247650"/>
          <a:ext cx="257175" cy="13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209551</xdr:colOff>
      <xdr:row>1</xdr:row>
      <xdr:rowOff>9525</xdr:rowOff>
    </xdr:from>
    <xdr:to>
      <xdr:col>6</xdr:col>
      <xdr:colOff>351137</xdr:colOff>
      <xdr:row>1</xdr:row>
      <xdr:rowOff>190500</xdr:rowOff>
    </xdr:to>
    <xdr:pic>
      <xdr:nvPicPr>
        <xdr:cNvPr id="11" name="Obrázek 10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247652</xdr:colOff>
      <xdr:row>1</xdr:row>
      <xdr:rowOff>19049</xdr:rowOff>
    </xdr:from>
    <xdr:to>
      <xdr:col>7</xdr:col>
      <xdr:colOff>390527</xdr:colOff>
      <xdr:row>1</xdr:row>
      <xdr:rowOff>161924</xdr:rowOff>
    </xdr:to>
    <xdr:pic>
      <xdr:nvPicPr>
        <xdr:cNvPr id="12" name="Obrázek 11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2" y="209549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152400</xdr:colOff>
      <xdr:row>1</xdr:row>
      <xdr:rowOff>38100</xdr:rowOff>
    </xdr:from>
    <xdr:to>
      <xdr:col>9</xdr:col>
      <xdr:colOff>409575</xdr:colOff>
      <xdr:row>1</xdr:row>
      <xdr:rowOff>192190</xdr:rowOff>
    </xdr:to>
    <xdr:pic>
      <xdr:nvPicPr>
        <xdr:cNvPr id="13" name="Obrázek 12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28600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209551</xdr:colOff>
      <xdr:row>1</xdr:row>
      <xdr:rowOff>9525</xdr:rowOff>
    </xdr:from>
    <xdr:to>
      <xdr:col>10</xdr:col>
      <xdr:colOff>351137</xdr:colOff>
      <xdr:row>1</xdr:row>
      <xdr:rowOff>190500</xdr:rowOff>
    </xdr:to>
    <xdr:pic>
      <xdr:nvPicPr>
        <xdr:cNvPr id="14" name="Obrázek 13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228602</xdr:colOff>
      <xdr:row>1</xdr:row>
      <xdr:rowOff>9526</xdr:rowOff>
    </xdr:from>
    <xdr:to>
      <xdr:col>11</xdr:col>
      <xdr:colOff>390526</xdr:colOff>
      <xdr:row>1</xdr:row>
      <xdr:rowOff>171450</xdr:rowOff>
    </xdr:to>
    <xdr:pic>
      <xdr:nvPicPr>
        <xdr:cNvPr id="15" name="Obrázek 14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2" y="200026"/>
          <a:ext cx="161924" cy="161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152400</xdr:colOff>
      <xdr:row>1</xdr:row>
      <xdr:rowOff>38100</xdr:rowOff>
    </xdr:from>
    <xdr:to>
      <xdr:col>13</xdr:col>
      <xdr:colOff>409575</xdr:colOff>
      <xdr:row>1</xdr:row>
      <xdr:rowOff>192190</xdr:rowOff>
    </xdr:to>
    <xdr:pic>
      <xdr:nvPicPr>
        <xdr:cNvPr id="16" name="Obrázek 15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28600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209551</xdr:colOff>
      <xdr:row>1</xdr:row>
      <xdr:rowOff>9525</xdr:rowOff>
    </xdr:from>
    <xdr:to>
      <xdr:col>14</xdr:col>
      <xdr:colOff>351137</xdr:colOff>
      <xdr:row>1</xdr:row>
      <xdr:rowOff>190500</xdr:rowOff>
    </xdr:to>
    <xdr:pic>
      <xdr:nvPicPr>
        <xdr:cNvPr id="17" name="Obrázek 16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152400</xdr:colOff>
      <xdr:row>1</xdr:row>
      <xdr:rowOff>28574</xdr:rowOff>
    </xdr:from>
    <xdr:to>
      <xdr:col>17</xdr:col>
      <xdr:colOff>409575</xdr:colOff>
      <xdr:row>1</xdr:row>
      <xdr:rowOff>192189</xdr:rowOff>
    </xdr:to>
    <xdr:pic>
      <xdr:nvPicPr>
        <xdr:cNvPr id="19" name="Obrázek 18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219074"/>
          <a:ext cx="257175" cy="16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209551</xdr:colOff>
      <xdr:row>1</xdr:row>
      <xdr:rowOff>9525</xdr:rowOff>
    </xdr:from>
    <xdr:to>
      <xdr:col>18</xdr:col>
      <xdr:colOff>351137</xdr:colOff>
      <xdr:row>1</xdr:row>
      <xdr:rowOff>190500</xdr:rowOff>
    </xdr:to>
    <xdr:pic>
      <xdr:nvPicPr>
        <xdr:cNvPr id="20" name="Obrázek 19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247651</xdr:colOff>
      <xdr:row>1</xdr:row>
      <xdr:rowOff>9526</xdr:rowOff>
    </xdr:from>
    <xdr:to>
      <xdr:col>19</xdr:col>
      <xdr:colOff>400050</xdr:colOff>
      <xdr:row>1</xdr:row>
      <xdr:rowOff>161925</xdr:rowOff>
    </xdr:to>
    <xdr:pic>
      <xdr:nvPicPr>
        <xdr:cNvPr id="21" name="Obrázek 20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1" y="200026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152400</xdr:colOff>
      <xdr:row>1</xdr:row>
      <xdr:rowOff>28574</xdr:rowOff>
    </xdr:from>
    <xdr:to>
      <xdr:col>21</xdr:col>
      <xdr:colOff>409575</xdr:colOff>
      <xdr:row>1</xdr:row>
      <xdr:rowOff>192189</xdr:rowOff>
    </xdr:to>
    <xdr:pic>
      <xdr:nvPicPr>
        <xdr:cNvPr id="22" name="Obrázek 21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219074"/>
          <a:ext cx="257175" cy="16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209551</xdr:colOff>
      <xdr:row>1</xdr:row>
      <xdr:rowOff>9525</xdr:rowOff>
    </xdr:from>
    <xdr:to>
      <xdr:col>22</xdr:col>
      <xdr:colOff>351137</xdr:colOff>
      <xdr:row>1</xdr:row>
      <xdr:rowOff>190500</xdr:rowOff>
    </xdr:to>
    <xdr:pic>
      <xdr:nvPicPr>
        <xdr:cNvPr id="23" name="Obrázek 22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247652</xdr:colOff>
      <xdr:row>1</xdr:row>
      <xdr:rowOff>47626</xdr:rowOff>
    </xdr:from>
    <xdr:to>
      <xdr:col>23</xdr:col>
      <xdr:colOff>390526</xdr:colOff>
      <xdr:row>1</xdr:row>
      <xdr:rowOff>190500</xdr:rowOff>
    </xdr:to>
    <xdr:pic>
      <xdr:nvPicPr>
        <xdr:cNvPr id="24" name="Obrázek 23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2" y="247651"/>
          <a:ext cx="142874" cy="14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152400</xdr:colOff>
      <xdr:row>1</xdr:row>
      <xdr:rowOff>38100</xdr:rowOff>
    </xdr:from>
    <xdr:to>
      <xdr:col>25</xdr:col>
      <xdr:colOff>409575</xdr:colOff>
      <xdr:row>1</xdr:row>
      <xdr:rowOff>192190</xdr:rowOff>
    </xdr:to>
    <xdr:pic>
      <xdr:nvPicPr>
        <xdr:cNvPr id="25" name="Obrázek 24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700" y="228600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209551</xdr:colOff>
      <xdr:row>1</xdr:row>
      <xdr:rowOff>9525</xdr:rowOff>
    </xdr:from>
    <xdr:to>
      <xdr:col>26</xdr:col>
      <xdr:colOff>351137</xdr:colOff>
      <xdr:row>1</xdr:row>
      <xdr:rowOff>190500</xdr:rowOff>
    </xdr:to>
    <xdr:pic>
      <xdr:nvPicPr>
        <xdr:cNvPr id="26" name="Obrázek 25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9525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180976</xdr:colOff>
      <xdr:row>1</xdr:row>
      <xdr:rowOff>9526</xdr:rowOff>
    </xdr:from>
    <xdr:to>
      <xdr:col>27</xdr:col>
      <xdr:colOff>352425</xdr:colOff>
      <xdr:row>1</xdr:row>
      <xdr:rowOff>180975</xdr:rowOff>
    </xdr:to>
    <xdr:pic>
      <xdr:nvPicPr>
        <xdr:cNvPr id="27" name="Obrázek 26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4476" y="200026"/>
          <a:ext cx="171449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152400</xdr:colOff>
      <xdr:row>1</xdr:row>
      <xdr:rowOff>38100</xdr:rowOff>
    </xdr:from>
    <xdr:to>
      <xdr:col>13</xdr:col>
      <xdr:colOff>409575</xdr:colOff>
      <xdr:row>1</xdr:row>
      <xdr:rowOff>192190</xdr:rowOff>
    </xdr:to>
    <xdr:pic>
      <xdr:nvPicPr>
        <xdr:cNvPr id="28" name="Obrázek 27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38125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209551</xdr:colOff>
      <xdr:row>1</xdr:row>
      <xdr:rowOff>9525</xdr:rowOff>
    </xdr:from>
    <xdr:to>
      <xdr:col>14</xdr:col>
      <xdr:colOff>351137</xdr:colOff>
      <xdr:row>1</xdr:row>
      <xdr:rowOff>190500</xdr:rowOff>
    </xdr:to>
    <xdr:pic>
      <xdr:nvPicPr>
        <xdr:cNvPr id="29" name="Obrázek 28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190501</xdr:colOff>
      <xdr:row>1</xdr:row>
      <xdr:rowOff>38102</xdr:rowOff>
    </xdr:from>
    <xdr:to>
      <xdr:col>15</xdr:col>
      <xdr:colOff>333375</xdr:colOff>
      <xdr:row>1</xdr:row>
      <xdr:rowOff>180976</xdr:rowOff>
    </xdr:to>
    <xdr:pic>
      <xdr:nvPicPr>
        <xdr:cNvPr id="30" name="Obrázek 29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6" y="238127"/>
          <a:ext cx="142874" cy="14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152400</xdr:colOff>
      <xdr:row>1</xdr:row>
      <xdr:rowOff>57150</xdr:rowOff>
    </xdr:from>
    <xdr:to>
      <xdr:col>17</xdr:col>
      <xdr:colOff>409575</xdr:colOff>
      <xdr:row>1</xdr:row>
      <xdr:rowOff>192190</xdr:rowOff>
    </xdr:to>
    <xdr:pic>
      <xdr:nvPicPr>
        <xdr:cNvPr id="31" name="Obrázek 30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257175"/>
          <a:ext cx="257175" cy="13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209551</xdr:colOff>
      <xdr:row>1</xdr:row>
      <xdr:rowOff>9525</xdr:rowOff>
    </xdr:from>
    <xdr:to>
      <xdr:col>18</xdr:col>
      <xdr:colOff>351137</xdr:colOff>
      <xdr:row>1</xdr:row>
      <xdr:rowOff>190500</xdr:rowOff>
    </xdr:to>
    <xdr:pic>
      <xdr:nvPicPr>
        <xdr:cNvPr id="32" name="Obrázek 31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247652</xdr:colOff>
      <xdr:row>1</xdr:row>
      <xdr:rowOff>19049</xdr:rowOff>
    </xdr:from>
    <xdr:to>
      <xdr:col>19</xdr:col>
      <xdr:colOff>390527</xdr:colOff>
      <xdr:row>1</xdr:row>
      <xdr:rowOff>161924</xdr:rowOff>
    </xdr:to>
    <xdr:pic>
      <xdr:nvPicPr>
        <xdr:cNvPr id="33" name="Obrázek 32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2" y="219074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152400</xdr:colOff>
      <xdr:row>1</xdr:row>
      <xdr:rowOff>38100</xdr:rowOff>
    </xdr:from>
    <xdr:to>
      <xdr:col>21</xdr:col>
      <xdr:colOff>409575</xdr:colOff>
      <xdr:row>1</xdr:row>
      <xdr:rowOff>192190</xdr:rowOff>
    </xdr:to>
    <xdr:pic>
      <xdr:nvPicPr>
        <xdr:cNvPr id="34" name="Obrázek 33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38125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209551</xdr:colOff>
      <xdr:row>1</xdr:row>
      <xdr:rowOff>9525</xdr:rowOff>
    </xdr:from>
    <xdr:to>
      <xdr:col>22</xdr:col>
      <xdr:colOff>351137</xdr:colOff>
      <xdr:row>1</xdr:row>
      <xdr:rowOff>190500</xdr:rowOff>
    </xdr:to>
    <xdr:pic>
      <xdr:nvPicPr>
        <xdr:cNvPr id="35" name="Obrázek 34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152400</xdr:colOff>
      <xdr:row>1</xdr:row>
      <xdr:rowOff>28574</xdr:rowOff>
    </xdr:from>
    <xdr:to>
      <xdr:col>29</xdr:col>
      <xdr:colOff>409575</xdr:colOff>
      <xdr:row>1</xdr:row>
      <xdr:rowOff>192189</xdr:rowOff>
    </xdr:to>
    <xdr:pic>
      <xdr:nvPicPr>
        <xdr:cNvPr id="41" name="Obrázek 40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228599"/>
          <a:ext cx="257175" cy="16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209551</xdr:colOff>
      <xdr:row>1</xdr:row>
      <xdr:rowOff>9525</xdr:rowOff>
    </xdr:from>
    <xdr:to>
      <xdr:col>30</xdr:col>
      <xdr:colOff>351137</xdr:colOff>
      <xdr:row>1</xdr:row>
      <xdr:rowOff>190500</xdr:rowOff>
    </xdr:to>
    <xdr:pic>
      <xdr:nvPicPr>
        <xdr:cNvPr id="42" name="Obrázek 41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247652</xdr:colOff>
      <xdr:row>1</xdr:row>
      <xdr:rowOff>47626</xdr:rowOff>
    </xdr:from>
    <xdr:to>
      <xdr:col>31</xdr:col>
      <xdr:colOff>390526</xdr:colOff>
      <xdr:row>1</xdr:row>
      <xdr:rowOff>190500</xdr:rowOff>
    </xdr:to>
    <xdr:pic>
      <xdr:nvPicPr>
        <xdr:cNvPr id="43" name="Obrázek 42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2" y="247651"/>
          <a:ext cx="142874" cy="14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152400</xdr:colOff>
      <xdr:row>1</xdr:row>
      <xdr:rowOff>38100</xdr:rowOff>
    </xdr:from>
    <xdr:to>
      <xdr:col>33</xdr:col>
      <xdr:colOff>409575</xdr:colOff>
      <xdr:row>1</xdr:row>
      <xdr:rowOff>192190</xdr:rowOff>
    </xdr:to>
    <xdr:pic>
      <xdr:nvPicPr>
        <xdr:cNvPr id="44" name="Obrázek 43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700" y="238125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209551</xdr:colOff>
      <xdr:row>1</xdr:row>
      <xdr:rowOff>9525</xdr:rowOff>
    </xdr:from>
    <xdr:to>
      <xdr:col>34</xdr:col>
      <xdr:colOff>351137</xdr:colOff>
      <xdr:row>1</xdr:row>
      <xdr:rowOff>190500</xdr:rowOff>
    </xdr:to>
    <xdr:pic>
      <xdr:nvPicPr>
        <xdr:cNvPr id="45" name="Obrázek 44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34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180976</xdr:colOff>
      <xdr:row>1</xdr:row>
      <xdr:rowOff>25113</xdr:rowOff>
    </xdr:from>
    <xdr:to>
      <xdr:col>35</xdr:col>
      <xdr:colOff>352425</xdr:colOff>
      <xdr:row>1</xdr:row>
      <xdr:rowOff>204355</xdr:rowOff>
    </xdr:to>
    <xdr:pic>
      <xdr:nvPicPr>
        <xdr:cNvPr id="46" name="Obrázek 45" descr="http://1.2.3.12/bmi/kurzy.euniverzita.eu/file.php/1/images/kniha_sediva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34294" y="232931"/>
          <a:ext cx="171449" cy="179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152400</xdr:colOff>
      <xdr:row>1</xdr:row>
      <xdr:rowOff>38100</xdr:rowOff>
    </xdr:from>
    <xdr:to>
      <xdr:col>29</xdr:col>
      <xdr:colOff>409575</xdr:colOff>
      <xdr:row>1</xdr:row>
      <xdr:rowOff>192190</xdr:rowOff>
    </xdr:to>
    <xdr:pic>
      <xdr:nvPicPr>
        <xdr:cNvPr id="47" name="Obrázek 46" descr="http://t3.gstatic.com/images?q=tbn:ANd9GcT2rDVG8jah-AYlCVgTaIJcRzeg4gbMsNbJ0Rcw6yTnA8XJek6MSlrE_q7qm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238125"/>
          <a:ext cx="257175" cy="1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209551</xdr:colOff>
      <xdr:row>1</xdr:row>
      <xdr:rowOff>9525</xdr:rowOff>
    </xdr:from>
    <xdr:to>
      <xdr:col>30</xdr:col>
      <xdr:colOff>351137</xdr:colOff>
      <xdr:row>1</xdr:row>
      <xdr:rowOff>190500</xdr:rowOff>
    </xdr:to>
    <xdr:pic>
      <xdr:nvPicPr>
        <xdr:cNvPr id="48" name="Obrázek 47" descr="http://1.2.3.10/bmi/nd01.jxs.cz/958/365/5b2b0a79d4_14618525_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1" y="209550"/>
          <a:ext cx="14158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K54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4" sqref="N54"/>
    </sheetView>
  </sheetViews>
  <sheetFormatPr defaultRowHeight="15" x14ac:dyDescent="0.25"/>
  <cols>
    <col min="1" max="1" width="18.42578125" customWidth="1"/>
    <col min="2" max="2" width="8.42578125" customWidth="1"/>
    <col min="3" max="3" width="7.85546875" customWidth="1"/>
    <col min="4" max="4" width="7.7109375" customWidth="1"/>
    <col min="5" max="5" width="7.140625" customWidth="1"/>
    <col min="6" max="6" width="7" customWidth="1"/>
  </cols>
  <sheetData>
    <row r="1" spans="1:37" ht="15.75" thickBot="1" x14ac:dyDescent="0.3">
      <c r="A1" s="69"/>
      <c r="B1" s="75" t="s">
        <v>53</v>
      </c>
      <c r="C1" s="75"/>
      <c r="D1" s="75"/>
      <c r="E1" s="75"/>
      <c r="F1" s="75" t="s">
        <v>54</v>
      </c>
      <c r="G1" s="75"/>
      <c r="H1" s="75"/>
      <c r="I1" s="71"/>
      <c r="J1" s="76" t="s">
        <v>55</v>
      </c>
      <c r="K1" s="75"/>
      <c r="L1" s="75"/>
      <c r="M1" s="75"/>
      <c r="N1" s="75" t="s">
        <v>56</v>
      </c>
      <c r="O1" s="75"/>
      <c r="P1" s="75"/>
      <c r="Q1" s="75"/>
      <c r="R1" s="71" t="s">
        <v>57</v>
      </c>
      <c r="S1" s="72"/>
      <c r="T1" s="72"/>
      <c r="U1" s="73"/>
      <c r="V1" s="71" t="s">
        <v>58</v>
      </c>
      <c r="W1" s="72"/>
      <c r="X1" s="72"/>
      <c r="Y1" s="73"/>
      <c r="Z1" s="71" t="s">
        <v>59</v>
      </c>
      <c r="AA1" s="72"/>
      <c r="AB1" s="72"/>
      <c r="AC1" s="74"/>
      <c r="AD1" s="71" t="s">
        <v>60</v>
      </c>
      <c r="AE1" s="72"/>
      <c r="AF1" s="72"/>
      <c r="AG1" s="73"/>
      <c r="AH1" s="71" t="s">
        <v>61</v>
      </c>
      <c r="AI1" s="72"/>
      <c r="AJ1" s="72"/>
      <c r="AK1" s="74"/>
    </row>
    <row r="2" spans="1:37" ht="15.75" thickBot="1" x14ac:dyDescent="0.3">
      <c r="A2" s="70"/>
      <c r="B2" s="5"/>
      <c r="C2" s="6"/>
      <c r="D2" s="6"/>
      <c r="E2" s="28" t="s">
        <v>52</v>
      </c>
      <c r="F2" s="5"/>
      <c r="G2" s="6"/>
      <c r="H2" s="6"/>
      <c r="I2" s="28" t="s">
        <v>52</v>
      </c>
      <c r="J2" s="5"/>
      <c r="K2" s="6"/>
      <c r="L2" s="6"/>
      <c r="M2" s="28" t="s">
        <v>52</v>
      </c>
      <c r="N2" s="5"/>
      <c r="O2" s="6"/>
      <c r="P2" s="6"/>
      <c r="Q2" s="28" t="s">
        <v>52</v>
      </c>
      <c r="R2" s="5"/>
      <c r="S2" s="6"/>
      <c r="T2" s="6"/>
      <c r="U2" s="28" t="s">
        <v>52</v>
      </c>
      <c r="V2" s="5"/>
      <c r="W2" s="6"/>
      <c r="X2" s="6"/>
      <c r="Y2" s="28" t="s">
        <v>52</v>
      </c>
      <c r="Z2" s="5"/>
      <c r="AA2" s="6"/>
      <c r="AB2" s="6"/>
      <c r="AC2" s="28" t="s">
        <v>52</v>
      </c>
      <c r="AD2" s="5"/>
      <c r="AE2" s="6"/>
      <c r="AF2" s="6"/>
      <c r="AG2" s="28" t="s">
        <v>52</v>
      </c>
      <c r="AH2" s="5"/>
      <c r="AI2" s="6"/>
      <c r="AJ2" s="6"/>
      <c r="AK2" s="28" t="s">
        <v>52</v>
      </c>
    </row>
    <row r="3" spans="1:37" x14ac:dyDescent="0.25">
      <c r="A3" s="2" t="s">
        <v>0</v>
      </c>
      <c r="B3" s="29">
        <v>9</v>
      </c>
      <c r="C3" s="30"/>
      <c r="D3" s="30"/>
      <c r="E3" s="31">
        <f>SUM(B3:D3)</f>
        <v>9</v>
      </c>
      <c r="F3" s="29">
        <v>8</v>
      </c>
      <c r="G3" s="30">
        <v>7</v>
      </c>
      <c r="H3" s="30"/>
      <c r="I3" s="31">
        <f>SUM(F3:H3)+E3</f>
        <v>24</v>
      </c>
      <c r="J3" s="29">
        <v>10</v>
      </c>
      <c r="K3" s="30">
        <v>6</v>
      </c>
      <c r="L3" s="30"/>
      <c r="M3" s="31">
        <f>SUM(J3:L3)+I3</f>
        <v>40</v>
      </c>
      <c r="N3" s="29">
        <v>10</v>
      </c>
      <c r="O3" s="30">
        <v>4</v>
      </c>
      <c r="P3" s="30"/>
      <c r="Q3" s="31">
        <f>SUM(N3:P3)+M3</f>
        <v>54</v>
      </c>
      <c r="R3" s="29">
        <v>10</v>
      </c>
      <c r="S3" s="30">
        <v>6</v>
      </c>
      <c r="T3" s="30"/>
      <c r="U3" s="31">
        <f>SUM(R3:T3)+Q3</f>
        <v>70</v>
      </c>
      <c r="V3" s="29">
        <v>9</v>
      </c>
      <c r="W3" s="30">
        <v>10</v>
      </c>
      <c r="X3" s="30"/>
      <c r="Y3" s="31">
        <f>SUM(V3:X3)+U3</f>
        <v>89</v>
      </c>
      <c r="Z3" s="29">
        <v>9</v>
      </c>
      <c r="AA3" s="30">
        <v>11</v>
      </c>
      <c r="AB3" s="30"/>
      <c r="AC3" s="31">
        <f t="shared" ref="AC3:AC12" si="0">SUM(Z3:AB3)+Y3</f>
        <v>109</v>
      </c>
      <c r="AD3" s="29">
        <v>9</v>
      </c>
      <c r="AE3" s="30">
        <v>0</v>
      </c>
      <c r="AF3" s="30"/>
      <c r="AG3" s="31">
        <f>SUM(AD3:AF3)+AC3</f>
        <v>118</v>
      </c>
      <c r="AH3" s="29">
        <v>10</v>
      </c>
      <c r="AI3" s="30"/>
      <c r="AJ3" s="30"/>
      <c r="AK3" s="31">
        <f t="shared" ref="AK3:AK12" si="1">SUM(AH3:AJ3)+AG3</f>
        <v>128</v>
      </c>
    </row>
    <row r="4" spans="1:37" x14ac:dyDescent="0.25">
      <c r="A4" s="2" t="s">
        <v>1</v>
      </c>
      <c r="B4" s="32">
        <v>9</v>
      </c>
      <c r="C4" s="1"/>
      <c r="D4" s="1"/>
      <c r="E4" s="33">
        <f>SUM(B4:D4)</f>
        <v>9</v>
      </c>
      <c r="F4" s="32">
        <v>8</v>
      </c>
      <c r="G4" s="1">
        <v>7</v>
      </c>
      <c r="H4" s="1"/>
      <c r="I4" s="33">
        <f>SUM(F4:H4)+E4</f>
        <v>24</v>
      </c>
      <c r="J4" s="32">
        <v>9</v>
      </c>
      <c r="K4" s="1">
        <v>6</v>
      </c>
      <c r="L4" s="1"/>
      <c r="M4" s="33">
        <f>SUM(J4:L4)+I4</f>
        <v>39</v>
      </c>
      <c r="N4" s="32">
        <v>8</v>
      </c>
      <c r="O4" s="1">
        <v>4</v>
      </c>
      <c r="P4" s="1"/>
      <c r="Q4" s="33">
        <f>SUM(N4:P4)+M4</f>
        <v>51</v>
      </c>
      <c r="R4" s="32">
        <v>9</v>
      </c>
      <c r="S4" s="1">
        <v>6</v>
      </c>
      <c r="T4" s="1"/>
      <c r="U4" s="33">
        <f>SUM(R4:T4)+Q4</f>
        <v>66</v>
      </c>
      <c r="V4" s="32">
        <v>9</v>
      </c>
      <c r="W4" s="1">
        <v>10</v>
      </c>
      <c r="X4" s="1"/>
      <c r="Y4" s="33">
        <f>SUM(V4:X4)+U4</f>
        <v>85</v>
      </c>
      <c r="Z4" s="32">
        <v>7</v>
      </c>
      <c r="AA4" s="1">
        <v>11</v>
      </c>
      <c r="AB4" s="1">
        <v>2</v>
      </c>
      <c r="AC4" s="33">
        <f t="shared" si="0"/>
        <v>105</v>
      </c>
      <c r="AD4" s="32">
        <v>9</v>
      </c>
      <c r="AE4" s="1">
        <v>0</v>
      </c>
      <c r="AF4" s="77">
        <v>1</v>
      </c>
      <c r="AG4" s="33">
        <f>SUM(AD4:AF4)+AC4</f>
        <v>115</v>
      </c>
      <c r="AH4" s="32">
        <v>7</v>
      </c>
      <c r="AI4" s="1"/>
      <c r="AJ4" s="1"/>
      <c r="AK4" s="33">
        <f t="shared" si="1"/>
        <v>122</v>
      </c>
    </row>
    <row r="5" spans="1:37" x14ac:dyDescent="0.25">
      <c r="A5" s="2" t="s">
        <v>2</v>
      </c>
      <c r="B5" s="32">
        <v>9</v>
      </c>
      <c r="C5" s="1"/>
      <c r="D5" s="1"/>
      <c r="E5" s="33">
        <f t="shared" ref="E5:E54" si="2">SUM(B5:D5)</f>
        <v>9</v>
      </c>
      <c r="F5" s="32">
        <v>10</v>
      </c>
      <c r="G5" s="1">
        <v>7</v>
      </c>
      <c r="H5" s="1"/>
      <c r="I5" s="33">
        <f>SUM(F5:H5)+E5</f>
        <v>26</v>
      </c>
      <c r="J5" s="32">
        <v>10</v>
      </c>
      <c r="K5" s="1">
        <v>6</v>
      </c>
      <c r="L5" s="1"/>
      <c r="M5" s="33">
        <f>SUM(J5:L5)+I5</f>
        <v>42</v>
      </c>
      <c r="N5" s="32">
        <v>6</v>
      </c>
      <c r="O5" s="1">
        <v>4</v>
      </c>
      <c r="P5" s="1">
        <v>1</v>
      </c>
      <c r="Q5" s="33">
        <f>SUM(N5:P5)+M5</f>
        <v>53</v>
      </c>
      <c r="R5" s="32">
        <v>8</v>
      </c>
      <c r="S5" s="1">
        <v>6</v>
      </c>
      <c r="T5" s="1"/>
      <c r="U5" s="33">
        <f>SUM(R5:T5)+Q5</f>
        <v>67</v>
      </c>
      <c r="V5" s="32">
        <v>10</v>
      </c>
      <c r="W5" s="1">
        <v>10</v>
      </c>
      <c r="X5" s="1"/>
      <c r="Y5" s="33">
        <f>SUM(V5:X5)+U5</f>
        <v>87</v>
      </c>
      <c r="Z5" s="32">
        <v>10</v>
      </c>
      <c r="AA5" s="1">
        <v>11</v>
      </c>
      <c r="AB5" s="1"/>
      <c r="AC5" s="33">
        <f t="shared" si="0"/>
        <v>108</v>
      </c>
      <c r="AD5" s="32">
        <v>9</v>
      </c>
      <c r="AE5" s="1">
        <v>0</v>
      </c>
      <c r="AF5" s="1">
        <v>1</v>
      </c>
      <c r="AG5" s="33">
        <f>SUM(AD5:AF5)+AC5</f>
        <v>118</v>
      </c>
      <c r="AH5" s="32">
        <v>7</v>
      </c>
      <c r="AI5" s="1"/>
      <c r="AJ5" s="1"/>
      <c r="AK5" s="33">
        <f t="shared" si="1"/>
        <v>125</v>
      </c>
    </row>
    <row r="6" spans="1:37" x14ac:dyDescent="0.25">
      <c r="A6" s="2" t="s">
        <v>3</v>
      </c>
      <c r="B6" s="32">
        <v>9</v>
      </c>
      <c r="C6" s="1"/>
      <c r="D6" s="1"/>
      <c r="E6" s="33">
        <f t="shared" si="2"/>
        <v>9</v>
      </c>
      <c r="F6" s="32">
        <v>9</v>
      </c>
      <c r="G6" s="1">
        <v>7</v>
      </c>
      <c r="H6" s="1"/>
      <c r="I6" s="33">
        <f>SUM(F6:H6)+E6</f>
        <v>25</v>
      </c>
      <c r="J6" s="32">
        <v>9</v>
      </c>
      <c r="K6" s="1">
        <v>6</v>
      </c>
      <c r="L6" s="1"/>
      <c r="M6" s="33">
        <f>SUM(J6:L6)+I6</f>
        <v>40</v>
      </c>
      <c r="N6" s="32">
        <v>9</v>
      </c>
      <c r="O6" s="1">
        <v>4</v>
      </c>
      <c r="P6" s="1"/>
      <c r="Q6" s="33">
        <f>SUM(N6:P6)+M6</f>
        <v>53</v>
      </c>
      <c r="R6" s="32">
        <v>10</v>
      </c>
      <c r="S6" s="1">
        <v>6</v>
      </c>
      <c r="T6" s="1"/>
      <c r="U6" s="33">
        <f>SUM(R6:T6)+Q6</f>
        <v>69</v>
      </c>
      <c r="V6" s="32">
        <v>9</v>
      </c>
      <c r="W6" s="1">
        <v>10</v>
      </c>
      <c r="X6" s="1">
        <v>2</v>
      </c>
      <c r="Y6" s="33">
        <f>SUM(V6:X6)+U6</f>
        <v>90</v>
      </c>
      <c r="Z6" s="32">
        <v>9</v>
      </c>
      <c r="AA6" s="1">
        <v>11</v>
      </c>
      <c r="AB6" s="1">
        <v>1</v>
      </c>
      <c r="AC6" s="33">
        <f t="shared" si="0"/>
        <v>111</v>
      </c>
      <c r="AD6" s="32">
        <v>9</v>
      </c>
      <c r="AE6" s="1">
        <v>0</v>
      </c>
      <c r="AF6" s="1">
        <v>2</v>
      </c>
      <c r="AG6" s="33">
        <f>SUM(AD6:AF6)+AC6</f>
        <v>122</v>
      </c>
      <c r="AH6" s="32">
        <v>9</v>
      </c>
      <c r="AI6" s="1"/>
      <c r="AJ6" s="1"/>
      <c r="AK6" s="33">
        <f t="shared" si="1"/>
        <v>131</v>
      </c>
    </row>
    <row r="7" spans="1:37" x14ac:dyDescent="0.25">
      <c r="A7" s="2" t="s">
        <v>4</v>
      </c>
      <c r="B7" s="32">
        <v>10</v>
      </c>
      <c r="C7" s="1"/>
      <c r="D7" s="1"/>
      <c r="E7" s="33">
        <f t="shared" si="2"/>
        <v>10</v>
      </c>
      <c r="F7" s="32">
        <v>10</v>
      </c>
      <c r="G7" s="1">
        <v>7</v>
      </c>
      <c r="H7" s="1"/>
      <c r="I7" s="33">
        <f>SUM(F7:H7)+E7</f>
        <v>27</v>
      </c>
      <c r="J7" s="32">
        <v>10</v>
      </c>
      <c r="K7" s="1">
        <v>6</v>
      </c>
      <c r="L7" s="1"/>
      <c r="M7" s="33">
        <f>SUM(J7:L7)+I7</f>
        <v>43</v>
      </c>
      <c r="N7" s="32">
        <v>7</v>
      </c>
      <c r="O7" s="1">
        <v>4</v>
      </c>
      <c r="P7" s="1"/>
      <c r="Q7" s="33">
        <f>SUM(N7:P7)+M7</f>
        <v>54</v>
      </c>
      <c r="R7" s="32">
        <v>10</v>
      </c>
      <c r="S7" s="1">
        <v>6</v>
      </c>
      <c r="T7" s="1"/>
      <c r="U7" s="33">
        <f>SUM(R7:T7)+Q7</f>
        <v>70</v>
      </c>
      <c r="V7" s="32">
        <v>10</v>
      </c>
      <c r="W7" s="1">
        <v>10</v>
      </c>
      <c r="X7" s="1">
        <v>1</v>
      </c>
      <c r="Y7" s="33">
        <f>SUM(V7:X7)+U7</f>
        <v>91</v>
      </c>
      <c r="Z7" s="32">
        <v>8</v>
      </c>
      <c r="AA7" s="1">
        <v>11</v>
      </c>
      <c r="AB7" s="1"/>
      <c r="AC7" s="33">
        <f t="shared" si="0"/>
        <v>110</v>
      </c>
      <c r="AD7" s="32">
        <v>10</v>
      </c>
      <c r="AE7" s="1">
        <v>0</v>
      </c>
      <c r="AF7" s="1">
        <v>1</v>
      </c>
      <c r="AG7" s="33">
        <f>SUM(AD7:AF7)+AC7</f>
        <v>121</v>
      </c>
      <c r="AH7" s="32">
        <v>10</v>
      </c>
      <c r="AI7" s="1"/>
      <c r="AJ7" s="1"/>
      <c r="AK7" s="33">
        <f t="shared" si="1"/>
        <v>131</v>
      </c>
    </row>
    <row r="8" spans="1:37" x14ac:dyDescent="0.25">
      <c r="A8" s="2" t="s">
        <v>5</v>
      </c>
      <c r="B8" s="32"/>
      <c r="C8" s="1"/>
      <c r="D8" s="1"/>
      <c r="E8" s="33"/>
      <c r="F8" s="32"/>
      <c r="G8" s="1"/>
      <c r="H8" s="1"/>
      <c r="I8" s="33"/>
      <c r="J8" s="32"/>
      <c r="K8" s="1"/>
      <c r="L8" s="1"/>
      <c r="M8" s="33"/>
      <c r="N8" s="32"/>
      <c r="O8" s="1"/>
      <c r="P8" s="1"/>
      <c r="Q8" s="33"/>
      <c r="R8" s="32"/>
      <c r="S8" s="1"/>
      <c r="T8" s="1"/>
      <c r="U8" s="33"/>
      <c r="V8" s="32"/>
      <c r="W8" s="1"/>
      <c r="X8" s="1"/>
      <c r="Y8" s="33"/>
      <c r="Z8" s="32"/>
      <c r="AA8" s="1">
        <v>11</v>
      </c>
      <c r="AB8" s="1"/>
      <c r="AC8" s="33">
        <f t="shared" si="0"/>
        <v>11</v>
      </c>
      <c r="AD8" s="32">
        <v>9</v>
      </c>
      <c r="AE8" s="1">
        <v>0</v>
      </c>
      <c r="AF8" s="1">
        <v>4</v>
      </c>
      <c r="AG8" s="33">
        <f>SUM(AD8:AF8)+AC8</f>
        <v>24</v>
      </c>
      <c r="AH8" s="32">
        <v>8</v>
      </c>
      <c r="AI8" s="1"/>
      <c r="AJ8" s="1"/>
      <c r="AK8" s="33">
        <f t="shared" si="1"/>
        <v>32</v>
      </c>
    </row>
    <row r="9" spans="1:37" x14ac:dyDescent="0.25">
      <c r="A9" s="2" t="s">
        <v>6</v>
      </c>
      <c r="B9" s="32">
        <v>10</v>
      </c>
      <c r="C9" s="1"/>
      <c r="D9" s="1"/>
      <c r="E9" s="33">
        <f t="shared" si="2"/>
        <v>10</v>
      </c>
      <c r="F9" s="32">
        <v>9</v>
      </c>
      <c r="G9" s="1">
        <v>7</v>
      </c>
      <c r="H9" s="1"/>
      <c r="I9" s="33">
        <f t="shared" ref="I9:I14" si="3">SUM(F9:H9)+E9</f>
        <v>26</v>
      </c>
      <c r="J9" s="32">
        <v>10</v>
      </c>
      <c r="K9" s="1">
        <v>6</v>
      </c>
      <c r="L9" s="1"/>
      <c r="M9" s="33">
        <f>SUM(J9:L9)+I9</f>
        <v>42</v>
      </c>
      <c r="N9" s="32">
        <v>8</v>
      </c>
      <c r="O9" s="1">
        <v>4</v>
      </c>
      <c r="P9" s="1"/>
      <c r="Q9" s="33">
        <f>SUM(N9:P9)+M9</f>
        <v>54</v>
      </c>
      <c r="R9" s="32">
        <v>7</v>
      </c>
      <c r="S9" s="1">
        <v>6</v>
      </c>
      <c r="T9" s="1"/>
      <c r="U9" s="33">
        <f>SUM(R9:T9)+Q9</f>
        <v>67</v>
      </c>
      <c r="V9" s="32">
        <v>10</v>
      </c>
      <c r="W9" s="1">
        <v>10</v>
      </c>
      <c r="X9" s="1"/>
      <c r="Y9" s="33">
        <f>SUM(V9:X9)+U9</f>
        <v>87</v>
      </c>
      <c r="Z9" s="32">
        <v>10</v>
      </c>
      <c r="AA9" s="1">
        <v>11</v>
      </c>
      <c r="AB9" s="1">
        <v>1</v>
      </c>
      <c r="AC9" s="33">
        <f t="shared" si="0"/>
        <v>109</v>
      </c>
      <c r="AD9" s="32">
        <v>9</v>
      </c>
      <c r="AE9" s="1">
        <v>0</v>
      </c>
      <c r="AF9" s="1"/>
      <c r="AG9" s="33">
        <f>SUM(AD9:AF9)+AC9</f>
        <v>118</v>
      </c>
      <c r="AH9" s="32">
        <v>8</v>
      </c>
      <c r="AI9" s="1"/>
      <c r="AJ9" s="1"/>
      <c r="AK9" s="33">
        <f t="shared" si="1"/>
        <v>126</v>
      </c>
    </row>
    <row r="10" spans="1:37" x14ac:dyDescent="0.25">
      <c r="A10" s="2" t="s">
        <v>7</v>
      </c>
      <c r="B10" s="32">
        <v>10</v>
      </c>
      <c r="C10" s="1"/>
      <c r="D10" s="1"/>
      <c r="E10" s="33">
        <f t="shared" si="2"/>
        <v>10</v>
      </c>
      <c r="F10" s="32">
        <v>9</v>
      </c>
      <c r="G10" s="1">
        <v>7</v>
      </c>
      <c r="H10" s="1"/>
      <c r="I10" s="33">
        <f t="shared" si="3"/>
        <v>26</v>
      </c>
      <c r="J10" s="32">
        <v>9</v>
      </c>
      <c r="K10" s="1">
        <v>6</v>
      </c>
      <c r="L10" s="1"/>
      <c r="M10" s="33">
        <f>SUM(J10:L10)+I10</f>
        <v>41</v>
      </c>
      <c r="N10" s="32">
        <v>8</v>
      </c>
      <c r="O10" s="1">
        <v>4</v>
      </c>
      <c r="P10" s="1"/>
      <c r="Q10" s="33">
        <f>SUM(N10:P10)+M10</f>
        <v>53</v>
      </c>
      <c r="R10" s="32">
        <v>8</v>
      </c>
      <c r="S10" s="1">
        <v>6</v>
      </c>
      <c r="T10" s="1">
        <v>1</v>
      </c>
      <c r="U10" s="33">
        <f>SUM(R10:T10)+Q10</f>
        <v>68</v>
      </c>
      <c r="V10" s="32">
        <v>10</v>
      </c>
      <c r="W10" s="1">
        <v>10</v>
      </c>
      <c r="X10" s="1"/>
      <c r="Y10" s="33">
        <f>SUM(V10:X10)+U10</f>
        <v>88</v>
      </c>
      <c r="Z10" s="32">
        <v>7</v>
      </c>
      <c r="AA10" s="1">
        <v>11</v>
      </c>
      <c r="AB10" s="1"/>
      <c r="AC10" s="33">
        <f t="shared" si="0"/>
        <v>106</v>
      </c>
      <c r="AD10" s="32"/>
      <c r="AE10" s="1">
        <v>0</v>
      </c>
      <c r="AF10" s="1"/>
      <c r="AG10" s="33">
        <f>SUM(AD10:AF10)+AC10</f>
        <v>106</v>
      </c>
      <c r="AH10" s="32"/>
      <c r="AI10" s="1"/>
      <c r="AJ10" s="1"/>
      <c r="AK10" s="33">
        <f t="shared" si="1"/>
        <v>106</v>
      </c>
    </row>
    <row r="11" spans="1:37" ht="15.75" thickBot="1" x14ac:dyDescent="0.3">
      <c r="A11" s="9" t="s">
        <v>8</v>
      </c>
      <c r="B11" s="34">
        <v>9</v>
      </c>
      <c r="C11" s="35"/>
      <c r="D11" s="35"/>
      <c r="E11" s="36">
        <f t="shared" si="2"/>
        <v>9</v>
      </c>
      <c r="F11" s="34">
        <v>7</v>
      </c>
      <c r="G11" s="35">
        <v>7</v>
      </c>
      <c r="H11" s="35"/>
      <c r="I11" s="36">
        <f t="shared" si="3"/>
        <v>23</v>
      </c>
      <c r="J11" s="34">
        <v>10</v>
      </c>
      <c r="K11" s="35">
        <v>6</v>
      </c>
      <c r="L11" s="35"/>
      <c r="M11" s="36">
        <f>SUM(J11:L11)+I11</f>
        <v>39</v>
      </c>
      <c r="N11" s="34">
        <v>9</v>
      </c>
      <c r="O11" s="35">
        <v>4</v>
      </c>
      <c r="P11" s="35"/>
      <c r="Q11" s="36">
        <f>SUM(N11:P11)+M11</f>
        <v>52</v>
      </c>
      <c r="R11" s="34">
        <v>9</v>
      </c>
      <c r="S11" s="35">
        <v>6</v>
      </c>
      <c r="T11" s="35"/>
      <c r="U11" s="36"/>
      <c r="V11" s="34">
        <v>10</v>
      </c>
      <c r="W11" s="35">
        <v>10</v>
      </c>
      <c r="X11" s="35">
        <v>1</v>
      </c>
      <c r="Y11" s="36">
        <f>SUM(V11:X11)+U11</f>
        <v>21</v>
      </c>
      <c r="Z11" s="34">
        <v>8</v>
      </c>
      <c r="AA11" s="35">
        <v>11</v>
      </c>
      <c r="AB11" s="35"/>
      <c r="AC11" s="36">
        <f t="shared" si="0"/>
        <v>40</v>
      </c>
      <c r="AD11" s="34">
        <v>10</v>
      </c>
      <c r="AE11" s="35">
        <v>0</v>
      </c>
      <c r="AF11" s="35">
        <v>2</v>
      </c>
      <c r="AG11" s="36">
        <f>SUM(AD11:AF11)+AC11</f>
        <v>52</v>
      </c>
      <c r="AH11" s="34">
        <v>8</v>
      </c>
      <c r="AI11" s="35"/>
      <c r="AJ11" s="35"/>
      <c r="AK11" s="36">
        <f t="shared" si="1"/>
        <v>60</v>
      </c>
    </row>
    <row r="12" spans="1:37" ht="15.75" thickBot="1" x14ac:dyDescent="0.3">
      <c r="A12" s="10" t="s">
        <v>9</v>
      </c>
      <c r="B12" s="23">
        <f>ROUND(AVERAGE(B3:B11),0)</f>
        <v>9</v>
      </c>
      <c r="C12" s="24">
        <v>0</v>
      </c>
      <c r="D12" s="24">
        <v>0</v>
      </c>
      <c r="E12" s="58">
        <f t="shared" si="2"/>
        <v>9</v>
      </c>
      <c r="F12" s="48">
        <f>ROUND(AVERAGE(F3:F11),0)</f>
        <v>9</v>
      </c>
      <c r="G12" s="46">
        <f>ROUND(AVERAGE(G3:G11),0)</f>
        <v>7</v>
      </c>
      <c r="H12" s="46">
        <v>0</v>
      </c>
      <c r="I12" s="59">
        <f t="shared" si="3"/>
        <v>25</v>
      </c>
      <c r="J12" s="48">
        <f>ROUND(AVERAGE(J3:J11),0)</f>
        <v>10</v>
      </c>
      <c r="K12" s="46">
        <f>ROUND(AVERAGE(K3:K11),0)</f>
        <v>6</v>
      </c>
      <c r="L12" s="46">
        <f>SUM(L3:L11)</f>
        <v>0</v>
      </c>
      <c r="M12" s="59">
        <f t="shared" ref="M12" si="4">SUM(J12:L12)+I12</f>
        <v>41</v>
      </c>
      <c r="N12" s="48">
        <f>ROUND(AVERAGE(N3:N11),0)</f>
        <v>8</v>
      </c>
      <c r="O12" s="46">
        <f>ROUND(AVERAGE(O3:O11),0)</f>
        <v>4</v>
      </c>
      <c r="P12" s="46">
        <f>SUM(P3:P11)</f>
        <v>1</v>
      </c>
      <c r="Q12" s="59">
        <f t="shared" ref="Q12" si="5">SUM(N12:P12)+M12</f>
        <v>54</v>
      </c>
      <c r="R12" s="48">
        <v>9</v>
      </c>
      <c r="S12" s="46">
        <f>ROUND(AVERAGE(S3:S11),0)</f>
        <v>6</v>
      </c>
      <c r="T12" s="46">
        <f>SUM(T3:T11)</f>
        <v>1</v>
      </c>
      <c r="U12" s="59">
        <f t="shared" ref="U12" si="6">SUM(R12:T12)+Q12</f>
        <v>70</v>
      </c>
      <c r="V12" s="48">
        <f>ROUND(AVERAGE(V3:V11),0)</f>
        <v>10</v>
      </c>
      <c r="W12" s="46">
        <f>ROUND(AVERAGE(W3:W11),0)</f>
        <v>10</v>
      </c>
      <c r="X12" s="46">
        <f>SUM(X3:X11)</f>
        <v>4</v>
      </c>
      <c r="Y12" s="60">
        <f t="shared" ref="Y12" si="7">SUM(V12:X12)+U12</f>
        <v>94</v>
      </c>
      <c r="Z12" s="48">
        <f>ROUND(AVERAGE(Z3:Z11),0)</f>
        <v>9</v>
      </c>
      <c r="AA12" s="48">
        <f>ROUND(AVERAGE(AA3:AA11),0)</f>
        <v>11</v>
      </c>
      <c r="AB12" s="46">
        <f>SUM(AB3:AB11)</f>
        <v>4</v>
      </c>
      <c r="AC12" s="60">
        <f t="shared" si="0"/>
        <v>118</v>
      </c>
      <c r="AD12" s="48">
        <f>ROUND(AVERAGE(AD3:AD11),0)</f>
        <v>9</v>
      </c>
      <c r="AE12" s="48">
        <f>ROUND(AVERAGE(AE3:AE11),0)</f>
        <v>0</v>
      </c>
      <c r="AF12" s="46">
        <f>SUM(AF3:AF11)</f>
        <v>11</v>
      </c>
      <c r="AG12" s="60">
        <f t="shared" ref="AG12" si="8">SUM(AD12:AF12)+AC12</f>
        <v>138</v>
      </c>
      <c r="AH12" s="48">
        <f>ROUND(AVERAGE(AH3:AH11),0)</f>
        <v>8</v>
      </c>
      <c r="AI12" s="48"/>
      <c r="AJ12" s="46">
        <f>SUM(AJ3:AJ11)</f>
        <v>0</v>
      </c>
      <c r="AK12" s="60">
        <f t="shared" si="1"/>
        <v>146</v>
      </c>
    </row>
    <row r="13" spans="1:37" x14ac:dyDescent="0.25">
      <c r="A13" s="3" t="s">
        <v>11</v>
      </c>
      <c r="B13" s="29">
        <v>8</v>
      </c>
      <c r="C13" s="30"/>
      <c r="D13" s="30"/>
      <c r="E13" s="36">
        <f t="shared" si="2"/>
        <v>8</v>
      </c>
      <c r="F13" s="43">
        <v>10</v>
      </c>
      <c r="G13" s="40">
        <v>10</v>
      </c>
      <c r="H13" s="40"/>
      <c r="I13" s="44">
        <f t="shared" si="3"/>
        <v>28</v>
      </c>
      <c r="J13" s="47">
        <v>10</v>
      </c>
      <c r="K13" s="40">
        <v>6</v>
      </c>
      <c r="L13" s="40"/>
      <c r="M13" s="44">
        <f>SUM(J13:L13)+I13</f>
        <v>44</v>
      </c>
      <c r="N13" s="47">
        <v>10</v>
      </c>
      <c r="O13" s="40">
        <v>4</v>
      </c>
      <c r="P13" s="40"/>
      <c r="Q13" s="44">
        <f>SUM(N13:P13)+M13</f>
        <v>58</v>
      </c>
      <c r="R13" s="47">
        <v>10</v>
      </c>
      <c r="S13" s="40">
        <v>8</v>
      </c>
      <c r="T13" s="40"/>
      <c r="U13" s="44">
        <f>SUM(R13:T13)+Q13</f>
        <v>76</v>
      </c>
      <c r="V13" s="47">
        <v>10</v>
      </c>
      <c r="W13" s="40">
        <v>4</v>
      </c>
      <c r="X13" s="40"/>
      <c r="Y13" s="44">
        <f>SUM(V13:X13)+U13</f>
        <v>90</v>
      </c>
      <c r="Z13" s="47">
        <v>9</v>
      </c>
      <c r="AA13" s="40">
        <v>14</v>
      </c>
      <c r="AB13" s="40"/>
      <c r="AC13" s="44">
        <f>SUM(Z13:AB13)+Y13</f>
        <v>113</v>
      </c>
      <c r="AD13" s="47">
        <v>7</v>
      </c>
      <c r="AE13" s="40">
        <v>0</v>
      </c>
      <c r="AF13" s="40">
        <v>1</v>
      </c>
      <c r="AG13" s="44">
        <f>SUM(AD13:AF13)+AC13</f>
        <v>121</v>
      </c>
      <c r="AH13" s="47">
        <v>10</v>
      </c>
      <c r="AI13" s="40"/>
      <c r="AJ13" s="40"/>
      <c r="AK13" s="44">
        <f>SUM(AH13:AJ13)+AG13</f>
        <v>131</v>
      </c>
    </row>
    <row r="14" spans="1:37" x14ac:dyDescent="0.25">
      <c r="A14" s="4" t="s">
        <v>10</v>
      </c>
      <c r="B14" s="32">
        <v>10</v>
      </c>
      <c r="C14" s="1"/>
      <c r="D14" s="1"/>
      <c r="E14" s="36">
        <f t="shared" si="2"/>
        <v>10</v>
      </c>
      <c r="F14" s="32">
        <v>9</v>
      </c>
      <c r="G14" s="1">
        <v>10</v>
      </c>
      <c r="H14" s="1"/>
      <c r="I14" s="33">
        <f t="shared" si="3"/>
        <v>29</v>
      </c>
      <c r="J14" s="39">
        <v>9</v>
      </c>
      <c r="K14" s="1">
        <v>6</v>
      </c>
      <c r="L14" s="1"/>
      <c r="M14" s="33">
        <f>SUM(J14:L14)+I14</f>
        <v>44</v>
      </c>
      <c r="N14" s="39">
        <v>6</v>
      </c>
      <c r="O14" s="1">
        <v>4</v>
      </c>
      <c r="P14" s="1"/>
      <c r="Q14" s="33">
        <f>SUM(N14:P14)+M14</f>
        <v>54</v>
      </c>
      <c r="R14" s="39">
        <v>8</v>
      </c>
      <c r="S14" s="1">
        <v>8</v>
      </c>
      <c r="T14" s="1"/>
      <c r="U14" s="33">
        <f>SUM(R14:T14)+Q14</f>
        <v>70</v>
      </c>
      <c r="V14" s="39">
        <v>9</v>
      </c>
      <c r="W14" s="1">
        <v>4</v>
      </c>
      <c r="X14" s="1"/>
      <c r="Y14" s="33">
        <f>SUM(V14:X14)+U14</f>
        <v>83</v>
      </c>
      <c r="Z14" s="39">
        <v>10</v>
      </c>
      <c r="AA14" s="1">
        <v>14</v>
      </c>
      <c r="AB14" s="1"/>
      <c r="AC14" s="33">
        <f>SUM(Z14:AB14)+Y14</f>
        <v>107</v>
      </c>
      <c r="AD14" s="39">
        <v>9</v>
      </c>
      <c r="AE14" s="1">
        <v>0</v>
      </c>
      <c r="AF14" s="1"/>
      <c r="AG14" s="33">
        <f>SUM(AD14:AF14)+AC14</f>
        <v>116</v>
      </c>
      <c r="AH14" s="39"/>
      <c r="AI14" s="1"/>
      <c r="AJ14" s="1"/>
      <c r="AK14" s="33">
        <f>SUM(AH14:AJ14)+AG14</f>
        <v>116</v>
      </c>
    </row>
    <row r="15" spans="1:37" x14ac:dyDescent="0.25">
      <c r="A15" s="4" t="s">
        <v>12</v>
      </c>
      <c r="B15" s="32"/>
      <c r="C15" s="1"/>
      <c r="D15" s="1"/>
      <c r="E15" s="36">
        <f t="shared" si="2"/>
        <v>0</v>
      </c>
      <c r="F15" s="32"/>
      <c r="G15" s="1"/>
      <c r="H15" s="1"/>
      <c r="I15" s="33"/>
      <c r="J15" s="39"/>
      <c r="K15" s="1"/>
      <c r="L15" s="1"/>
      <c r="M15" s="33"/>
      <c r="N15" s="39"/>
      <c r="O15" s="1"/>
      <c r="P15" s="1"/>
      <c r="Q15" s="33"/>
      <c r="R15" s="39"/>
      <c r="S15" s="1"/>
      <c r="T15" s="1"/>
      <c r="U15" s="33"/>
      <c r="V15" s="39"/>
      <c r="W15" s="1"/>
      <c r="X15" s="1"/>
      <c r="Y15" s="33"/>
      <c r="Z15" s="39"/>
      <c r="AA15" s="1"/>
      <c r="AB15" s="1"/>
      <c r="AC15" s="33"/>
      <c r="AD15" s="39"/>
      <c r="AE15" s="1">
        <v>0</v>
      </c>
      <c r="AF15" s="1"/>
      <c r="AG15" s="33"/>
      <c r="AH15" s="39"/>
      <c r="AI15" s="1"/>
      <c r="AJ15" s="1"/>
      <c r="AK15" s="33"/>
    </row>
    <row r="16" spans="1:37" x14ac:dyDescent="0.25">
      <c r="A16" s="4" t="s">
        <v>13</v>
      </c>
      <c r="B16" s="32">
        <v>10</v>
      </c>
      <c r="C16" s="1"/>
      <c r="D16" s="1"/>
      <c r="E16" s="36">
        <f t="shared" si="2"/>
        <v>10</v>
      </c>
      <c r="F16" s="32">
        <v>10</v>
      </c>
      <c r="G16" s="1">
        <v>10</v>
      </c>
      <c r="H16" s="1"/>
      <c r="I16" s="33">
        <f>SUM(F16:H16)+E16</f>
        <v>30</v>
      </c>
      <c r="J16" s="39">
        <v>10</v>
      </c>
      <c r="K16" s="1">
        <v>6</v>
      </c>
      <c r="L16" s="1"/>
      <c r="M16" s="33">
        <f>SUM(J16:L16)+I16</f>
        <v>46</v>
      </c>
      <c r="N16" s="39">
        <v>7</v>
      </c>
      <c r="O16" s="1">
        <v>4</v>
      </c>
      <c r="P16" s="1">
        <v>1</v>
      </c>
      <c r="Q16" s="33">
        <f>SUM(N16:P16)+M16</f>
        <v>58</v>
      </c>
      <c r="R16" s="39">
        <v>10</v>
      </c>
      <c r="S16" s="1">
        <v>8</v>
      </c>
      <c r="T16" s="1"/>
      <c r="U16" s="33">
        <f>SUM(R16:T16)+Q16</f>
        <v>76</v>
      </c>
      <c r="V16" s="39">
        <v>10</v>
      </c>
      <c r="W16" s="1">
        <v>4</v>
      </c>
      <c r="X16" s="1">
        <v>1</v>
      </c>
      <c r="Y16" s="33">
        <f>SUM(V16:X16)+U16</f>
        <v>91</v>
      </c>
      <c r="Z16" s="39">
        <v>8</v>
      </c>
      <c r="AA16" s="1">
        <v>14</v>
      </c>
      <c r="AB16" s="1"/>
      <c r="AC16" s="33">
        <f>SUM(Z16:AB16)+Y16</f>
        <v>113</v>
      </c>
      <c r="AD16" s="39">
        <v>9</v>
      </c>
      <c r="AE16" s="1">
        <v>0</v>
      </c>
      <c r="AF16" s="1"/>
      <c r="AG16" s="33">
        <f>SUM(AD16:AF16)+AC16</f>
        <v>122</v>
      </c>
      <c r="AH16" s="39">
        <v>10</v>
      </c>
      <c r="AI16" s="1"/>
      <c r="AJ16" s="1"/>
      <c r="AK16" s="33">
        <f>SUM(AH16:AJ16)+AG16</f>
        <v>132</v>
      </c>
    </row>
    <row r="17" spans="1:37" x14ac:dyDescent="0.25">
      <c r="A17" s="4" t="s">
        <v>14</v>
      </c>
      <c r="B17" s="32">
        <v>9</v>
      </c>
      <c r="C17" s="1"/>
      <c r="D17" s="1"/>
      <c r="E17" s="36">
        <f t="shared" si="2"/>
        <v>9</v>
      </c>
      <c r="F17" s="32">
        <v>9</v>
      </c>
      <c r="G17" s="1">
        <v>10</v>
      </c>
      <c r="H17" s="1"/>
      <c r="I17" s="33">
        <f>SUM(F17:H17)+E17</f>
        <v>28</v>
      </c>
      <c r="J17" s="39">
        <v>9</v>
      </c>
      <c r="K17" s="1">
        <v>6</v>
      </c>
      <c r="L17" s="1">
        <v>3</v>
      </c>
      <c r="M17" s="33">
        <f>SUM(J17:L17)+I17</f>
        <v>46</v>
      </c>
      <c r="N17" s="39">
        <v>9</v>
      </c>
      <c r="O17" s="1">
        <v>4</v>
      </c>
      <c r="P17" s="1"/>
      <c r="Q17" s="33">
        <f>SUM(N17:P17)+M17</f>
        <v>59</v>
      </c>
      <c r="R17" s="39">
        <v>10</v>
      </c>
      <c r="S17" s="1">
        <v>8</v>
      </c>
      <c r="T17" s="1"/>
      <c r="U17" s="33">
        <f>SUM(R17:T17)+Q17</f>
        <v>77</v>
      </c>
      <c r="V17" s="39">
        <v>9</v>
      </c>
      <c r="W17" s="1">
        <v>4</v>
      </c>
      <c r="X17" s="1">
        <v>1</v>
      </c>
      <c r="Y17" s="33">
        <f>SUM(V17:X17)+U17</f>
        <v>91</v>
      </c>
      <c r="Z17" s="39">
        <v>9</v>
      </c>
      <c r="AA17" s="1">
        <v>14</v>
      </c>
      <c r="AB17" s="1">
        <v>2</v>
      </c>
      <c r="AC17" s="33">
        <f>SUM(Z17:AB17)+Y17</f>
        <v>116</v>
      </c>
      <c r="AD17" s="39">
        <v>10</v>
      </c>
      <c r="AE17" s="1">
        <v>0</v>
      </c>
      <c r="AF17" s="1">
        <v>1</v>
      </c>
      <c r="AG17" s="33">
        <f>SUM(AD17:AF17)+AC17</f>
        <v>127</v>
      </c>
      <c r="AH17" s="39">
        <v>9</v>
      </c>
      <c r="AI17" s="1"/>
      <c r="AJ17" s="1"/>
      <c r="AK17" s="33">
        <f>SUM(AH17:AJ17)+AG17</f>
        <v>136</v>
      </c>
    </row>
    <row r="18" spans="1:37" x14ac:dyDescent="0.25">
      <c r="A18" s="4" t="s">
        <v>15</v>
      </c>
      <c r="B18" s="32">
        <v>9</v>
      </c>
      <c r="C18" s="1"/>
      <c r="D18" s="1"/>
      <c r="E18" s="36">
        <f t="shared" si="2"/>
        <v>9</v>
      </c>
      <c r="F18" s="32">
        <v>10</v>
      </c>
      <c r="G18" s="1">
        <v>10</v>
      </c>
      <c r="H18" s="1"/>
      <c r="I18" s="33">
        <f>SUM(F18:H18)+E18</f>
        <v>29</v>
      </c>
      <c r="J18" s="39">
        <v>10</v>
      </c>
      <c r="K18" s="1">
        <v>6</v>
      </c>
      <c r="L18" s="1"/>
      <c r="M18" s="33">
        <f>SUM(J18:L18)+I18</f>
        <v>45</v>
      </c>
      <c r="N18" s="39">
        <v>9</v>
      </c>
      <c r="O18" s="1">
        <v>4</v>
      </c>
      <c r="P18" s="1"/>
      <c r="Q18" s="33">
        <f>SUM(N18:P18)+M18</f>
        <v>58</v>
      </c>
      <c r="R18" s="39">
        <v>10</v>
      </c>
      <c r="S18" s="1">
        <v>8</v>
      </c>
      <c r="T18" s="1"/>
      <c r="U18" s="33">
        <f>SUM(R18:T18)+Q18</f>
        <v>76</v>
      </c>
      <c r="V18" s="39">
        <v>10</v>
      </c>
      <c r="W18" s="1">
        <v>4</v>
      </c>
      <c r="X18" s="1"/>
      <c r="Y18" s="33">
        <f>SUM(V18:X18)+U18</f>
        <v>90</v>
      </c>
      <c r="Z18" s="39">
        <v>8</v>
      </c>
      <c r="AA18" s="1">
        <v>14</v>
      </c>
      <c r="AB18" s="1"/>
      <c r="AC18" s="33">
        <f>SUM(Z18:AB18)+Y18</f>
        <v>112</v>
      </c>
      <c r="AD18" s="39">
        <v>9</v>
      </c>
      <c r="AE18" s="1">
        <v>0</v>
      </c>
      <c r="AF18" s="1"/>
      <c r="AG18" s="33">
        <f>SUM(AD18:AF18)+AC18</f>
        <v>121</v>
      </c>
      <c r="AH18" s="39">
        <v>7</v>
      </c>
      <c r="AI18" s="1"/>
      <c r="AJ18" s="1"/>
      <c r="AK18" s="33">
        <f>SUM(AH18:AJ18)+AG18</f>
        <v>128</v>
      </c>
    </row>
    <row r="19" spans="1:37" x14ac:dyDescent="0.25">
      <c r="A19" s="4" t="s">
        <v>16</v>
      </c>
      <c r="B19" s="32"/>
      <c r="C19" s="1"/>
      <c r="D19" s="1"/>
      <c r="E19" s="38"/>
      <c r="F19" s="32"/>
      <c r="G19" s="1"/>
      <c r="H19" s="1"/>
      <c r="I19" s="33"/>
      <c r="J19" s="39"/>
      <c r="K19" s="1"/>
      <c r="L19" s="1"/>
      <c r="M19" s="33"/>
      <c r="N19" s="39"/>
      <c r="O19" s="1"/>
      <c r="P19" s="1"/>
      <c r="Q19" s="33"/>
      <c r="R19" s="39"/>
      <c r="S19" s="1"/>
      <c r="T19" s="1"/>
      <c r="U19" s="33"/>
      <c r="V19" s="39"/>
      <c r="W19" s="1"/>
      <c r="X19" s="1"/>
      <c r="Y19" s="33"/>
      <c r="Z19" s="39"/>
      <c r="AA19" s="1"/>
      <c r="AB19" s="1"/>
      <c r="AC19" s="33"/>
      <c r="AD19" s="39">
        <v>8</v>
      </c>
      <c r="AE19" s="1">
        <v>0</v>
      </c>
      <c r="AF19" s="1">
        <v>1</v>
      </c>
      <c r="AG19" s="33"/>
      <c r="AH19" s="39">
        <v>4</v>
      </c>
      <c r="AI19" s="1"/>
      <c r="AJ19" s="1"/>
      <c r="AK19" s="33"/>
    </row>
    <row r="20" spans="1:37" x14ac:dyDescent="0.25">
      <c r="A20" s="4" t="s">
        <v>17</v>
      </c>
      <c r="B20" s="32">
        <v>10</v>
      </c>
      <c r="C20" s="1"/>
      <c r="D20" s="1"/>
      <c r="E20" s="36">
        <f t="shared" si="2"/>
        <v>10</v>
      </c>
      <c r="F20" s="32">
        <v>10</v>
      </c>
      <c r="G20" s="1">
        <v>10</v>
      </c>
      <c r="H20" s="1"/>
      <c r="I20" s="33">
        <f>SUM(F20:H20)+E20</f>
        <v>30</v>
      </c>
      <c r="J20" s="39">
        <v>10</v>
      </c>
      <c r="K20" s="1">
        <v>6</v>
      </c>
      <c r="L20" s="1"/>
      <c r="M20" s="33">
        <f>SUM(J20:L20)+I20</f>
        <v>46</v>
      </c>
      <c r="N20" s="39">
        <v>8</v>
      </c>
      <c r="O20" s="1">
        <v>4</v>
      </c>
      <c r="P20" s="1">
        <v>2</v>
      </c>
      <c r="Q20" s="33">
        <f>SUM(N20:P20)+M20</f>
        <v>60</v>
      </c>
      <c r="R20" s="39">
        <v>10</v>
      </c>
      <c r="S20" s="1">
        <v>8</v>
      </c>
      <c r="T20" s="1"/>
      <c r="U20" s="33">
        <f>SUM(R20:T20)+Q20</f>
        <v>78</v>
      </c>
      <c r="V20" s="39">
        <v>10</v>
      </c>
      <c r="W20" s="1">
        <v>4</v>
      </c>
      <c r="X20" s="1">
        <v>2</v>
      </c>
      <c r="Y20" s="33">
        <f>SUM(V20:X20)+U20</f>
        <v>94</v>
      </c>
      <c r="Z20" s="39"/>
      <c r="AA20" s="1">
        <v>14</v>
      </c>
      <c r="AB20" s="1"/>
      <c r="AC20" s="33">
        <f>SUM(Z20:AB20)+Y20</f>
        <v>108</v>
      </c>
      <c r="AD20" s="39">
        <v>7</v>
      </c>
      <c r="AE20" s="1">
        <v>0</v>
      </c>
      <c r="AF20" s="1"/>
      <c r="AG20" s="33">
        <f>SUM(AD20:AF20)+AC20</f>
        <v>115</v>
      </c>
      <c r="AH20" s="39"/>
      <c r="AI20" s="1"/>
      <c r="AJ20" s="1"/>
      <c r="AK20" s="33">
        <f>SUM(AH20:AJ20)+AG20</f>
        <v>115</v>
      </c>
    </row>
    <row r="21" spans="1:37" x14ac:dyDescent="0.25">
      <c r="A21" s="4" t="s">
        <v>18</v>
      </c>
      <c r="B21" s="32">
        <v>10</v>
      </c>
      <c r="C21" s="1"/>
      <c r="D21" s="1"/>
      <c r="E21" s="36">
        <f t="shared" si="2"/>
        <v>10</v>
      </c>
      <c r="F21" s="32">
        <v>10</v>
      </c>
      <c r="G21" s="1">
        <v>10</v>
      </c>
      <c r="H21" s="1"/>
      <c r="I21" s="33">
        <f>SUM(F21:H21)+E21</f>
        <v>30</v>
      </c>
      <c r="J21" s="39">
        <v>10</v>
      </c>
      <c r="K21" s="1">
        <v>6</v>
      </c>
      <c r="L21" s="1"/>
      <c r="M21" s="33">
        <f>SUM(J21:L21)+I21</f>
        <v>46</v>
      </c>
      <c r="N21" s="39">
        <v>8</v>
      </c>
      <c r="O21" s="1">
        <v>4</v>
      </c>
      <c r="P21" s="1">
        <v>1</v>
      </c>
      <c r="Q21" s="33">
        <f>SUM(N21:P21)+M21</f>
        <v>59</v>
      </c>
      <c r="R21" s="39">
        <v>10</v>
      </c>
      <c r="S21" s="1">
        <v>8</v>
      </c>
      <c r="T21" s="1"/>
      <c r="U21" s="33">
        <f>SUM(R21:T21)+Q21</f>
        <v>77</v>
      </c>
      <c r="V21" s="39">
        <v>10</v>
      </c>
      <c r="W21" s="1">
        <v>4</v>
      </c>
      <c r="X21" s="1">
        <v>1</v>
      </c>
      <c r="Y21" s="33">
        <f>SUM(V21:X21)+U21</f>
        <v>92</v>
      </c>
      <c r="Z21" s="39">
        <v>10</v>
      </c>
      <c r="AA21" s="1">
        <v>14</v>
      </c>
      <c r="AB21" s="1">
        <v>1</v>
      </c>
      <c r="AC21" s="33">
        <f>SUM(Z21:AB21)+Y21</f>
        <v>117</v>
      </c>
      <c r="AD21" s="39"/>
      <c r="AE21" s="1">
        <v>0</v>
      </c>
      <c r="AF21" s="1"/>
      <c r="AG21" s="33">
        <f>SUM(AD21:AF21)+AC21</f>
        <v>117</v>
      </c>
      <c r="AH21" s="39">
        <v>9</v>
      </c>
      <c r="AI21" s="1"/>
      <c r="AJ21" s="1"/>
      <c r="AK21" s="33">
        <f>SUM(AH21:AJ21)+AG21</f>
        <v>126</v>
      </c>
    </row>
    <row r="22" spans="1:37" ht="15.75" thickBot="1" x14ac:dyDescent="0.3">
      <c r="A22" s="7" t="s">
        <v>19</v>
      </c>
      <c r="B22" s="34">
        <v>10</v>
      </c>
      <c r="C22" s="35"/>
      <c r="D22" s="35"/>
      <c r="E22" s="36">
        <f t="shared" si="2"/>
        <v>10</v>
      </c>
      <c r="F22" s="34">
        <v>9</v>
      </c>
      <c r="G22" s="35">
        <v>10</v>
      </c>
      <c r="H22" s="35"/>
      <c r="I22" s="36">
        <f>SUM(F22:H22)+E22</f>
        <v>29</v>
      </c>
      <c r="J22" s="42">
        <v>9</v>
      </c>
      <c r="K22" s="35">
        <v>6</v>
      </c>
      <c r="L22" s="35"/>
      <c r="M22" s="36">
        <f>SUM(J22:L22)+I22</f>
        <v>44</v>
      </c>
      <c r="N22" s="42">
        <v>8</v>
      </c>
      <c r="O22" s="35">
        <v>4</v>
      </c>
      <c r="P22" s="35"/>
      <c r="Q22" s="36">
        <f>SUM(N22:P22)+M22</f>
        <v>56</v>
      </c>
      <c r="R22" s="42">
        <v>8</v>
      </c>
      <c r="S22" s="35">
        <v>8</v>
      </c>
      <c r="T22" s="35">
        <v>2</v>
      </c>
      <c r="U22" s="36">
        <f>SUM(R22:T22)+Q22</f>
        <v>74</v>
      </c>
      <c r="V22" s="42">
        <v>10</v>
      </c>
      <c r="W22" s="35">
        <v>4</v>
      </c>
      <c r="X22" s="35"/>
      <c r="Y22" s="36">
        <f>SUM(V22:X22)+U22</f>
        <v>88</v>
      </c>
      <c r="Z22" s="42">
        <v>8</v>
      </c>
      <c r="AA22" s="35">
        <v>14</v>
      </c>
      <c r="AB22" s="35"/>
      <c r="AC22" s="36">
        <f>SUM(Z22:AB22)+Y22</f>
        <v>110</v>
      </c>
      <c r="AD22" s="42">
        <v>10</v>
      </c>
      <c r="AE22" s="35">
        <v>0</v>
      </c>
      <c r="AF22" s="35">
        <v>2</v>
      </c>
      <c r="AG22" s="36">
        <f>SUM(AD22:AF22)+AC22</f>
        <v>122</v>
      </c>
      <c r="AH22" s="42">
        <v>5</v>
      </c>
      <c r="AI22" s="35"/>
      <c r="AJ22" s="35"/>
      <c r="AK22" s="36">
        <f>SUM(AH22:AJ22)+AG22</f>
        <v>127</v>
      </c>
    </row>
    <row r="23" spans="1:37" ht="15.75" thickBot="1" x14ac:dyDescent="0.3">
      <c r="A23" s="8" t="s">
        <v>20</v>
      </c>
      <c r="B23" s="23">
        <f>ROUND(AVERAGE(B14:B22),0)</f>
        <v>10</v>
      </c>
      <c r="C23" s="24">
        <v>0</v>
      </c>
      <c r="D23" s="24">
        <f>SUM(D14:D22)</f>
        <v>0</v>
      </c>
      <c r="E23" s="64">
        <f t="shared" si="2"/>
        <v>10</v>
      </c>
      <c r="F23" s="45">
        <f>ROUND(AVERAGE(F13:F22),0)</f>
        <v>10</v>
      </c>
      <c r="G23" s="46">
        <f>ROUND(AVERAGE(G13:G22),0)</f>
        <v>10</v>
      </c>
      <c r="H23" s="46">
        <f>SUM(H14:H22)</f>
        <v>0</v>
      </c>
      <c r="I23" s="62">
        <f t="shared" ref="I23" si="9">SUM(F23:H23)+E23</f>
        <v>30</v>
      </c>
      <c r="J23" s="45">
        <f>ROUND(AVERAGE(J13:J22),0)</f>
        <v>10</v>
      </c>
      <c r="K23" s="46">
        <f>ROUND(AVERAGE(K13:K22),0)</f>
        <v>6</v>
      </c>
      <c r="L23" s="46">
        <f>SUM(L13:L22)</f>
        <v>3</v>
      </c>
      <c r="M23" s="62">
        <f t="shared" ref="M23" si="10">SUM(J23:L23)+I23</f>
        <v>49</v>
      </c>
      <c r="N23" s="45">
        <f>ROUND(AVERAGE(N13:N22),0)</f>
        <v>8</v>
      </c>
      <c r="O23" s="46">
        <f>ROUND(AVERAGE(O13:O22),0)</f>
        <v>4</v>
      </c>
      <c r="P23" s="46">
        <f>SUM(P13:P22)</f>
        <v>4</v>
      </c>
      <c r="Q23" s="62">
        <f t="shared" ref="Q23" si="11">SUM(N23:P23)+M23</f>
        <v>65</v>
      </c>
      <c r="R23" s="45">
        <f>ROUND(AVERAGE(R13:R22),0)</f>
        <v>10</v>
      </c>
      <c r="S23" s="46">
        <f>ROUND(AVERAGE(S13:S22),0)</f>
        <v>8</v>
      </c>
      <c r="T23" s="46">
        <f>SUM(T13:T22)</f>
        <v>2</v>
      </c>
      <c r="U23" s="62">
        <f t="shared" ref="U23" si="12">SUM(R23:T23)+Q23</f>
        <v>85</v>
      </c>
      <c r="V23" s="45">
        <f>ROUND(AVERAGE(V13:V22),0)</f>
        <v>10</v>
      </c>
      <c r="W23" s="46">
        <f>ROUND(AVERAGE(W13:W22),0)</f>
        <v>4</v>
      </c>
      <c r="X23" s="46">
        <f>SUM(X13:X22)</f>
        <v>5</v>
      </c>
      <c r="Y23" s="62">
        <f t="shared" ref="Y23" si="13">SUM(V23:X23)+U23</f>
        <v>104</v>
      </c>
      <c r="Z23" s="45">
        <f>ROUND(AVERAGE(Z13:Z22),0)</f>
        <v>9</v>
      </c>
      <c r="AA23" s="46">
        <f>ROUND(AVERAGE(AA13:AA22),0)</f>
        <v>14</v>
      </c>
      <c r="AB23" s="46">
        <f>SUM(AB13:AB22)</f>
        <v>3</v>
      </c>
      <c r="AC23" s="62">
        <f t="shared" ref="AC23" si="14">SUM(Z23:AB23)+Y23</f>
        <v>130</v>
      </c>
      <c r="AD23" s="45">
        <f>ROUND(AVERAGE(AD13:AD22),0)</f>
        <v>9</v>
      </c>
      <c r="AE23" s="46">
        <f>ROUND(AVERAGE(AE13:AE22),0)</f>
        <v>0</v>
      </c>
      <c r="AF23" s="46">
        <f>SUM(AF13:AF22)</f>
        <v>5</v>
      </c>
      <c r="AG23" s="62">
        <f t="shared" ref="AG23:AG42" si="15">SUM(AD23:AF23)+AC23</f>
        <v>144</v>
      </c>
      <c r="AH23" s="45">
        <f>ROUND(AVERAGE(AH13:AH22),0)</f>
        <v>8</v>
      </c>
      <c r="AI23" s="46"/>
      <c r="AJ23" s="46">
        <f>SUM(AJ13:AJ22)</f>
        <v>0</v>
      </c>
      <c r="AK23" s="62">
        <f t="shared" ref="AK23:AK54" si="16">SUM(AH23:AJ23)+AG23</f>
        <v>152</v>
      </c>
    </row>
    <row r="24" spans="1:37" x14ac:dyDescent="0.25">
      <c r="A24" s="11" t="s">
        <v>21</v>
      </c>
      <c r="B24" s="29">
        <v>9</v>
      </c>
      <c r="C24" s="30"/>
      <c r="D24" s="30"/>
      <c r="E24" s="54">
        <f t="shared" si="2"/>
        <v>9</v>
      </c>
      <c r="F24" s="43">
        <v>10</v>
      </c>
      <c r="G24" s="40">
        <v>4</v>
      </c>
      <c r="H24" s="40"/>
      <c r="I24" s="63">
        <f t="shared" ref="I24:I32" si="17">SUM(F24:H24)+E24</f>
        <v>23</v>
      </c>
      <c r="J24" s="43">
        <v>10</v>
      </c>
      <c r="K24" s="40">
        <v>6</v>
      </c>
      <c r="L24" s="40"/>
      <c r="M24" s="44">
        <f t="shared" ref="M24:M32" si="18">SUM(J24:L24)+I24</f>
        <v>39</v>
      </c>
      <c r="N24" s="47">
        <v>6</v>
      </c>
      <c r="O24" s="40">
        <v>10</v>
      </c>
      <c r="P24" s="40"/>
      <c r="Q24" s="44">
        <f t="shared" ref="Q24:Q33" si="19">SUM(N24:P24)+M24</f>
        <v>55</v>
      </c>
      <c r="R24" s="47">
        <v>8</v>
      </c>
      <c r="S24" s="40">
        <v>6</v>
      </c>
      <c r="T24" s="40"/>
      <c r="U24" s="44">
        <f t="shared" ref="U24:U33" si="20">SUM(R24:T24)+Q24</f>
        <v>69</v>
      </c>
      <c r="V24" s="47">
        <v>10</v>
      </c>
      <c r="W24" s="40">
        <v>4</v>
      </c>
      <c r="X24" s="40"/>
      <c r="Y24" s="44">
        <f t="shared" ref="Y24:Y33" si="21">SUM(V24:X24)+U24</f>
        <v>83</v>
      </c>
      <c r="Z24" s="47">
        <v>10</v>
      </c>
      <c r="AA24" s="40">
        <v>10</v>
      </c>
      <c r="AB24" s="40"/>
      <c r="AC24" s="44">
        <f t="shared" ref="AC24:AC33" si="22">SUM(Z24:AB24)+Y24</f>
        <v>103</v>
      </c>
      <c r="AD24" s="47">
        <v>9</v>
      </c>
      <c r="AE24" s="40">
        <v>0</v>
      </c>
      <c r="AF24" s="40"/>
      <c r="AG24" s="44">
        <f t="shared" si="15"/>
        <v>112</v>
      </c>
      <c r="AH24" s="47">
        <v>0</v>
      </c>
      <c r="AI24" s="40"/>
      <c r="AJ24" s="40"/>
      <c r="AK24" s="44">
        <f t="shared" si="16"/>
        <v>112</v>
      </c>
    </row>
    <row r="25" spans="1:37" x14ac:dyDescent="0.25">
      <c r="A25" s="12" t="s">
        <v>22</v>
      </c>
      <c r="B25" s="32">
        <v>10</v>
      </c>
      <c r="C25" s="1"/>
      <c r="D25" s="1"/>
      <c r="E25" s="36">
        <f t="shared" si="2"/>
        <v>10</v>
      </c>
      <c r="F25" s="32">
        <v>10</v>
      </c>
      <c r="G25" s="1">
        <v>4</v>
      </c>
      <c r="H25" s="1"/>
      <c r="I25" s="38">
        <f t="shared" si="17"/>
        <v>24</v>
      </c>
      <c r="J25" s="32">
        <v>10</v>
      </c>
      <c r="K25" s="1">
        <v>6</v>
      </c>
      <c r="L25" s="1"/>
      <c r="M25" s="33">
        <f t="shared" si="18"/>
        <v>40</v>
      </c>
      <c r="N25" s="39">
        <v>5</v>
      </c>
      <c r="O25" s="1">
        <v>10</v>
      </c>
      <c r="P25" s="1"/>
      <c r="Q25" s="33">
        <f t="shared" si="19"/>
        <v>55</v>
      </c>
      <c r="R25" s="39">
        <v>9</v>
      </c>
      <c r="S25" s="1">
        <v>6</v>
      </c>
      <c r="T25" s="1"/>
      <c r="U25" s="33">
        <f t="shared" si="20"/>
        <v>70</v>
      </c>
      <c r="V25" s="39">
        <v>8</v>
      </c>
      <c r="W25" s="1">
        <v>4</v>
      </c>
      <c r="X25" s="1"/>
      <c r="Y25" s="33">
        <f t="shared" si="21"/>
        <v>82</v>
      </c>
      <c r="Z25" s="39">
        <v>9</v>
      </c>
      <c r="AA25" s="1">
        <v>10</v>
      </c>
      <c r="AB25" s="1"/>
      <c r="AC25" s="33">
        <f t="shared" si="22"/>
        <v>101</v>
      </c>
      <c r="AD25" s="39">
        <v>7</v>
      </c>
      <c r="AE25" s="1">
        <v>0</v>
      </c>
      <c r="AF25" s="1"/>
      <c r="AG25" s="33">
        <f t="shared" si="15"/>
        <v>108</v>
      </c>
      <c r="AH25" s="39">
        <v>9</v>
      </c>
      <c r="AI25" s="1"/>
      <c r="AJ25" s="1"/>
      <c r="AK25" s="33">
        <f t="shared" si="16"/>
        <v>117</v>
      </c>
    </row>
    <row r="26" spans="1:37" x14ac:dyDescent="0.25">
      <c r="A26" s="12" t="s">
        <v>23</v>
      </c>
      <c r="B26" s="32">
        <v>9</v>
      </c>
      <c r="C26" s="1"/>
      <c r="D26" s="1"/>
      <c r="E26" s="36">
        <f t="shared" si="2"/>
        <v>9</v>
      </c>
      <c r="F26" s="32">
        <v>10</v>
      </c>
      <c r="G26" s="1">
        <v>4</v>
      </c>
      <c r="H26" s="1"/>
      <c r="I26" s="38">
        <f t="shared" si="17"/>
        <v>23</v>
      </c>
      <c r="J26" s="32">
        <v>10</v>
      </c>
      <c r="K26" s="1">
        <v>6</v>
      </c>
      <c r="L26" s="1"/>
      <c r="M26" s="33">
        <f t="shared" si="18"/>
        <v>39</v>
      </c>
      <c r="N26" s="39">
        <v>7</v>
      </c>
      <c r="O26" s="1">
        <v>10</v>
      </c>
      <c r="P26" s="1"/>
      <c r="Q26" s="33">
        <f t="shared" si="19"/>
        <v>56</v>
      </c>
      <c r="R26" s="39">
        <v>6</v>
      </c>
      <c r="S26" s="1">
        <v>6</v>
      </c>
      <c r="T26" s="1"/>
      <c r="U26" s="33">
        <f t="shared" si="20"/>
        <v>68</v>
      </c>
      <c r="V26" s="39">
        <v>9</v>
      </c>
      <c r="W26" s="1">
        <v>4</v>
      </c>
      <c r="X26" s="1"/>
      <c r="Y26" s="33">
        <f t="shared" si="21"/>
        <v>81</v>
      </c>
      <c r="Z26" s="39">
        <v>7</v>
      </c>
      <c r="AA26" s="1">
        <v>10</v>
      </c>
      <c r="AB26" s="1"/>
      <c r="AC26" s="33">
        <f t="shared" si="22"/>
        <v>98</v>
      </c>
      <c r="AD26" s="39">
        <v>9</v>
      </c>
      <c r="AE26" s="1">
        <v>0</v>
      </c>
      <c r="AF26" s="1"/>
      <c r="AG26" s="33">
        <f t="shared" si="15"/>
        <v>107</v>
      </c>
      <c r="AH26" s="39">
        <v>6</v>
      </c>
      <c r="AI26" s="1"/>
      <c r="AJ26" s="1"/>
      <c r="AK26" s="33">
        <f t="shared" si="16"/>
        <v>113</v>
      </c>
    </row>
    <row r="27" spans="1:37" x14ac:dyDescent="0.25">
      <c r="A27" s="12" t="s">
        <v>24</v>
      </c>
      <c r="B27" s="32">
        <v>9</v>
      </c>
      <c r="C27" s="1"/>
      <c r="D27" s="1"/>
      <c r="E27" s="36">
        <f t="shared" si="2"/>
        <v>9</v>
      </c>
      <c r="F27" s="32">
        <v>8</v>
      </c>
      <c r="G27" s="1">
        <v>4</v>
      </c>
      <c r="H27" s="1"/>
      <c r="I27" s="38">
        <f t="shared" si="17"/>
        <v>21</v>
      </c>
      <c r="J27" s="32">
        <v>8</v>
      </c>
      <c r="K27" s="1">
        <v>6</v>
      </c>
      <c r="L27" s="1"/>
      <c r="M27" s="33">
        <f t="shared" si="18"/>
        <v>35</v>
      </c>
      <c r="N27" s="39">
        <v>9</v>
      </c>
      <c r="O27" s="1">
        <v>10</v>
      </c>
      <c r="P27" s="1"/>
      <c r="Q27" s="33">
        <f t="shared" si="19"/>
        <v>54</v>
      </c>
      <c r="R27" s="39">
        <v>9</v>
      </c>
      <c r="S27" s="1">
        <v>6</v>
      </c>
      <c r="T27" s="1">
        <v>2</v>
      </c>
      <c r="U27" s="33">
        <f t="shared" si="20"/>
        <v>71</v>
      </c>
      <c r="V27" s="39">
        <v>10</v>
      </c>
      <c r="W27" s="1">
        <v>4</v>
      </c>
      <c r="X27" s="1"/>
      <c r="Y27" s="33">
        <f t="shared" si="21"/>
        <v>85</v>
      </c>
      <c r="Z27" s="39">
        <v>8</v>
      </c>
      <c r="AA27" s="1">
        <v>10</v>
      </c>
      <c r="AB27" s="1"/>
      <c r="AC27" s="33">
        <f t="shared" si="22"/>
        <v>103</v>
      </c>
      <c r="AD27" s="39">
        <v>10</v>
      </c>
      <c r="AE27" s="1">
        <v>0</v>
      </c>
      <c r="AF27" s="1">
        <v>1</v>
      </c>
      <c r="AG27" s="33">
        <f t="shared" si="15"/>
        <v>114</v>
      </c>
      <c r="AH27" s="39">
        <v>8</v>
      </c>
      <c r="AI27" s="1"/>
      <c r="AJ27" s="1"/>
      <c r="AK27" s="33">
        <f t="shared" si="16"/>
        <v>122</v>
      </c>
    </row>
    <row r="28" spans="1:37" x14ac:dyDescent="0.25">
      <c r="A28" s="12" t="s">
        <v>25</v>
      </c>
      <c r="B28" s="32">
        <v>10</v>
      </c>
      <c r="C28" s="1"/>
      <c r="D28" s="1"/>
      <c r="E28" s="36">
        <f t="shared" si="2"/>
        <v>10</v>
      </c>
      <c r="F28" s="32">
        <v>10</v>
      </c>
      <c r="G28" s="1">
        <v>4</v>
      </c>
      <c r="H28" s="1"/>
      <c r="I28" s="38">
        <f t="shared" si="17"/>
        <v>24</v>
      </c>
      <c r="J28" s="32">
        <v>10</v>
      </c>
      <c r="K28" s="1">
        <v>6</v>
      </c>
      <c r="L28" s="1"/>
      <c r="M28" s="33">
        <f t="shared" si="18"/>
        <v>40</v>
      </c>
      <c r="N28" s="39">
        <v>6</v>
      </c>
      <c r="O28" s="1">
        <v>10</v>
      </c>
      <c r="P28" s="1"/>
      <c r="Q28" s="33">
        <f t="shared" si="19"/>
        <v>56</v>
      </c>
      <c r="R28" s="39">
        <v>8</v>
      </c>
      <c r="S28" s="1">
        <v>6</v>
      </c>
      <c r="T28" s="1"/>
      <c r="U28" s="33">
        <f t="shared" si="20"/>
        <v>70</v>
      </c>
      <c r="V28" s="39">
        <v>9</v>
      </c>
      <c r="W28" s="1">
        <v>4</v>
      </c>
      <c r="X28" s="1"/>
      <c r="Y28" s="33">
        <f t="shared" si="21"/>
        <v>83</v>
      </c>
      <c r="Z28" s="39">
        <v>9</v>
      </c>
      <c r="AA28" s="1">
        <v>10</v>
      </c>
      <c r="AB28" s="1"/>
      <c r="AC28" s="33">
        <f t="shared" si="22"/>
        <v>102</v>
      </c>
      <c r="AD28" s="39">
        <v>9</v>
      </c>
      <c r="AE28" s="1">
        <v>0</v>
      </c>
      <c r="AF28" s="1"/>
      <c r="AG28" s="33">
        <f t="shared" si="15"/>
        <v>111</v>
      </c>
      <c r="AH28" s="39">
        <v>8</v>
      </c>
      <c r="AI28" s="1"/>
      <c r="AJ28" s="1"/>
      <c r="AK28" s="33">
        <f t="shared" si="16"/>
        <v>119</v>
      </c>
    </row>
    <row r="29" spans="1:37" x14ac:dyDescent="0.25">
      <c r="A29" s="12" t="s">
        <v>26</v>
      </c>
      <c r="B29" s="32">
        <v>10</v>
      </c>
      <c r="C29" s="1"/>
      <c r="D29" s="1"/>
      <c r="E29" s="36">
        <f t="shared" si="2"/>
        <v>10</v>
      </c>
      <c r="F29" s="32">
        <v>9</v>
      </c>
      <c r="G29" s="1">
        <v>4</v>
      </c>
      <c r="H29" s="1"/>
      <c r="I29" s="38">
        <f t="shared" si="17"/>
        <v>23</v>
      </c>
      <c r="J29" s="32">
        <v>9</v>
      </c>
      <c r="K29" s="1">
        <v>6</v>
      </c>
      <c r="L29" s="1"/>
      <c r="M29" s="33">
        <f t="shared" si="18"/>
        <v>38</v>
      </c>
      <c r="N29" s="39">
        <v>8</v>
      </c>
      <c r="O29" s="1">
        <v>10</v>
      </c>
      <c r="P29" s="1"/>
      <c r="Q29" s="33">
        <f t="shared" si="19"/>
        <v>56</v>
      </c>
      <c r="R29" s="39">
        <v>8</v>
      </c>
      <c r="S29" s="1">
        <v>6</v>
      </c>
      <c r="T29" s="1">
        <v>1</v>
      </c>
      <c r="U29" s="33">
        <f t="shared" si="20"/>
        <v>71</v>
      </c>
      <c r="V29" s="39">
        <v>10</v>
      </c>
      <c r="W29" s="1">
        <v>4</v>
      </c>
      <c r="X29" s="1"/>
      <c r="Y29" s="33">
        <f t="shared" si="21"/>
        <v>85</v>
      </c>
      <c r="Z29" s="39">
        <v>7</v>
      </c>
      <c r="AA29" s="1">
        <v>10</v>
      </c>
      <c r="AB29" s="1"/>
      <c r="AC29" s="33">
        <f t="shared" si="22"/>
        <v>102</v>
      </c>
      <c r="AD29" s="39"/>
      <c r="AE29" s="1">
        <v>0</v>
      </c>
      <c r="AF29" s="1"/>
      <c r="AG29" s="33">
        <f t="shared" si="15"/>
        <v>102</v>
      </c>
      <c r="AH29" s="39"/>
      <c r="AI29" s="1"/>
      <c r="AJ29" s="1"/>
      <c r="AK29" s="33">
        <f t="shared" si="16"/>
        <v>102</v>
      </c>
    </row>
    <row r="30" spans="1:37" x14ac:dyDescent="0.25">
      <c r="A30" s="12" t="s">
        <v>27</v>
      </c>
      <c r="B30" s="32">
        <v>9</v>
      </c>
      <c r="C30" s="1"/>
      <c r="D30" s="1"/>
      <c r="E30" s="36">
        <f t="shared" si="2"/>
        <v>9</v>
      </c>
      <c r="F30" s="32">
        <v>7</v>
      </c>
      <c r="G30" s="1">
        <v>4</v>
      </c>
      <c r="H30" s="1"/>
      <c r="I30" s="38">
        <f t="shared" si="17"/>
        <v>20</v>
      </c>
      <c r="J30" s="32">
        <v>7</v>
      </c>
      <c r="K30" s="1">
        <v>6</v>
      </c>
      <c r="L30" s="1"/>
      <c r="M30" s="33">
        <f t="shared" si="18"/>
        <v>33</v>
      </c>
      <c r="N30" s="39">
        <v>7</v>
      </c>
      <c r="O30" s="1">
        <v>10</v>
      </c>
      <c r="P30" s="1"/>
      <c r="Q30" s="33">
        <f t="shared" si="19"/>
        <v>50</v>
      </c>
      <c r="R30" s="39">
        <v>9</v>
      </c>
      <c r="S30" s="1">
        <v>6</v>
      </c>
      <c r="T30" s="1"/>
      <c r="U30" s="33">
        <f t="shared" si="20"/>
        <v>65</v>
      </c>
      <c r="V30" s="39">
        <v>9</v>
      </c>
      <c r="W30" s="1">
        <v>4</v>
      </c>
      <c r="X30" s="1"/>
      <c r="Y30" s="33">
        <f t="shared" si="21"/>
        <v>78</v>
      </c>
      <c r="Z30" s="39">
        <v>6</v>
      </c>
      <c r="AA30" s="1">
        <v>10</v>
      </c>
      <c r="AB30" s="1">
        <v>1</v>
      </c>
      <c r="AC30" s="33">
        <f t="shared" si="22"/>
        <v>95</v>
      </c>
      <c r="AD30" s="39">
        <v>6</v>
      </c>
      <c r="AE30" s="1">
        <v>0</v>
      </c>
      <c r="AF30" s="1"/>
      <c r="AG30" s="33">
        <f t="shared" si="15"/>
        <v>101</v>
      </c>
      <c r="AH30" s="39">
        <v>8</v>
      </c>
      <c r="AI30" s="1"/>
      <c r="AJ30" s="1"/>
      <c r="AK30" s="33">
        <f t="shared" si="16"/>
        <v>109</v>
      </c>
    </row>
    <row r="31" spans="1:37" x14ac:dyDescent="0.25">
      <c r="A31" s="12" t="s">
        <v>28</v>
      </c>
      <c r="B31" s="32">
        <v>9</v>
      </c>
      <c r="C31" s="1"/>
      <c r="D31" s="1"/>
      <c r="E31" s="36">
        <f t="shared" si="2"/>
        <v>9</v>
      </c>
      <c r="F31" s="32">
        <v>9</v>
      </c>
      <c r="G31" s="1">
        <v>4</v>
      </c>
      <c r="H31" s="1"/>
      <c r="I31" s="38">
        <f t="shared" si="17"/>
        <v>22</v>
      </c>
      <c r="J31" s="32">
        <v>9</v>
      </c>
      <c r="K31" s="1">
        <v>6</v>
      </c>
      <c r="L31" s="1"/>
      <c r="M31" s="33">
        <f t="shared" si="18"/>
        <v>37</v>
      </c>
      <c r="N31" s="39">
        <v>7</v>
      </c>
      <c r="O31" s="1">
        <v>10</v>
      </c>
      <c r="P31" s="1">
        <v>1</v>
      </c>
      <c r="Q31" s="33">
        <f t="shared" si="19"/>
        <v>55</v>
      </c>
      <c r="R31" s="39">
        <v>8</v>
      </c>
      <c r="S31" s="1">
        <v>6</v>
      </c>
      <c r="T31" s="1"/>
      <c r="U31" s="33">
        <f t="shared" si="20"/>
        <v>69</v>
      </c>
      <c r="V31" s="39">
        <v>10</v>
      </c>
      <c r="W31" s="1">
        <v>4</v>
      </c>
      <c r="X31" s="1"/>
      <c r="Y31" s="33">
        <f t="shared" si="21"/>
        <v>83</v>
      </c>
      <c r="Z31" s="39">
        <v>8</v>
      </c>
      <c r="AA31" s="1">
        <v>10</v>
      </c>
      <c r="AB31" s="1"/>
      <c r="AC31" s="33">
        <f t="shared" si="22"/>
        <v>101</v>
      </c>
      <c r="AD31" s="39">
        <v>9</v>
      </c>
      <c r="AE31" s="1">
        <v>0</v>
      </c>
      <c r="AF31" s="1"/>
      <c r="AG31" s="33">
        <f t="shared" si="15"/>
        <v>110</v>
      </c>
      <c r="AH31" s="39">
        <v>6</v>
      </c>
      <c r="AI31" s="1"/>
      <c r="AJ31" s="1"/>
      <c r="AK31" s="33">
        <f t="shared" si="16"/>
        <v>116</v>
      </c>
    </row>
    <row r="32" spans="1:37" ht="15.75" thickBot="1" x14ac:dyDescent="0.3">
      <c r="A32" s="13" t="s">
        <v>29</v>
      </c>
      <c r="B32" s="34">
        <v>10</v>
      </c>
      <c r="C32" s="35"/>
      <c r="D32" s="35"/>
      <c r="E32" s="36">
        <f t="shared" si="2"/>
        <v>10</v>
      </c>
      <c r="F32" s="34">
        <v>9</v>
      </c>
      <c r="G32" s="35">
        <v>4</v>
      </c>
      <c r="H32" s="35"/>
      <c r="I32" s="41">
        <f t="shared" si="17"/>
        <v>23</v>
      </c>
      <c r="J32" s="34">
        <v>9</v>
      </c>
      <c r="K32" s="35">
        <v>6</v>
      </c>
      <c r="L32" s="35"/>
      <c r="M32" s="36">
        <f t="shared" si="18"/>
        <v>38</v>
      </c>
      <c r="N32" s="42">
        <v>6</v>
      </c>
      <c r="O32" s="35">
        <v>10</v>
      </c>
      <c r="P32" s="35"/>
      <c r="Q32" s="36">
        <f t="shared" si="19"/>
        <v>54</v>
      </c>
      <c r="R32" s="42">
        <v>8</v>
      </c>
      <c r="S32" s="35">
        <v>6</v>
      </c>
      <c r="T32" s="35"/>
      <c r="U32" s="36">
        <f t="shared" si="20"/>
        <v>68</v>
      </c>
      <c r="V32" s="42">
        <v>9</v>
      </c>
      <c r="W32" s="35">
        <v>4</v>
      </c>
      <c r="X32" s="35"/>
      <c r="Y32" s="36">
        <f t="shared" si="21"/>
        <v>81</v>
      </c>
      <c r="Z32" s="42">
        <v>10</v>
      </c>
      <c r="AA32" s="35">
        <v>10</v>
      </c>
      <c r="AB32" s="35"/>
      <c r="AC32" s="36">
        <f t="shared" si="22"/>
        <v>101</v>
      </c>
      <c r="AD32" s="42"/>
      <c r="AE32" s="35">
        <v>0</v>
      </c>
      <c r="AF32" s="35"/>
      <c r="AG32" s="36">
        <f t="shared" si="15"/>
        <v>101</v>
      </c>
      <c r="AH32" s="42"/>
      <c r="AI32" s="35"/>
      <c r="AJ32" s="35"/>
      <c r="AK32" s="36">
        <f t="shared" si="16"/>
        <v>101</v>
      </c>
    </row>
    <row r="33" spans="1:37" ht="15.75" thickBot="1" x14ac:dyDescent="0.3">
      <c r="A33" s="14" t="s">
        <v>30</v>
      </c>
      <c r="B33" s="23">
        <f>ROUND(AVERAGE(B24:B32),0)</f>
        <v>9</v>
      </c>
      <c r="C33" s="24">
        <v>0</v>
      </c>
      <c r="D33" s="24">
        <f>SUM(D24:D32)</f>
        <v>0</v>
      </c>
      <c r="E33" s="65">
        <f>E27</f>
        <v>9</v>
      </c>
      <c r="F33" s="51">
        <f>ROUND(AVERAGE(F24:F32),0)</f>
        <v>9</v>
      </c>
      <c r="G33" s="23">
        <f>ROUND(AVERAGE(G24:G32),0)</f>
        <v>4</v>
      </c>
      <c r="H33" s="24">
        <f>SUM(H24:H32)</f>
        <v>0</v>
      </c>
      <c r="I33" s="66">
        <f t="shared" ref="I33" si="23">SUM(F33:H33)+E33</f>
        <v>22</v>
      </c>
      <c r="J33" s="23">
        <f>ROUND(AVERAGE(J24:J32),0)</f>
        <v>9</v>
      </c>
      <c r="K33" s="24">
        <f>ROUND(AVERAGE(K24:K32),0)</f>
        <v>6</v>
      </c>
      <c r="L33" s="24">
        <f>SUM(L24:L32)</f>
        <v>0</v>
      </c>
      <c r="M33" s="65">
        <f t="shared" ref="M33" si="24">SUM(J33:L33)+I33</f>
        <v>37</v>
      </c>
      <c r="N33" s="26">
        <f>ROUND(AVERAGE(N24:N32),0)</f>
        <v>7</v>
      </c>
      <c r="O33" s="24">
        <f>ROUND(AVERAGE(O24:O32),0)</f>
        <v>10</v>
      </c>
      <c r="P33" s="24">
        <f>SUM(P24:P32)</f>
        <v>1</v>
      </c>
      <c r="Q33" s="65">
        <f t="shared" si="19"/>
        <v>55</v>
      </c>
      <c r="R33" s="26">
        <f>ROUND(AVERAGE(R24:R32),0)</f>
        <v>8</v>
      </c>
      <c r="S33" s="24">
        <f>ROUND(AVERAGE(S24:S32),0)</f>
        <v>6</v>
      </c>
      <c r="T33" s="24">
        <f>SUM(T24:T32)</f>
        <v>3</v>
      </c>
      <c r="U33" s="65">
        <f t="shared" si="20"/>
        <v>72</v>
      </c>
      <c r="V33" s="26">
        <f>ROUND(AVERAGE(V24:V32),0)</f>
        <v>9</v>
      </c>
      <c r="W33" s="24">
        <f>ROUND(AVERAGE(W24:W32),0)</f>
        <v>4</v>
      </c>
      <c r="X33" s="24">
        <f>SUM(X24:X32)</f>
        <v>0</v>
      </c>
      <c r="Y33" s="65">
        <f t="shared" si="21"/>
        <v>85</v>
      </c>
      <c r="Z33" s="26">
        <f>ROUND(AVERAGE(Z24:Z32),0)</f>
        <v>8</v>
      </c>
      <c r="AA33" s="24">
        <f>ROUND(AVERAGE(AA24:AA32),0)</f>
        <v>10</v>
      </c>
      <c r="AB33" s="24">
        <f>SUM(AB24:AB32)</f>
        <v>1</v>
      </c>
      <c r="AC33" s="65">
        <f t="shared" si="22"/>
        <v>104</v>
      </c>
      <c r="AD33" s="26">
        <f>ROUND(AVERAGE(AD24:AD32),0)</f>
        <v>8</v>
      </c>
      <c r="AE33" s="27">
        <f>ROUND(AVERAGE(AE24:AE32),0)</f>
        <v>0</v>
      </c>
      <c r="AF33" s="24">
        <f>SUM(AF24:AF32)</f>
        <v>1</v>
      </c>
      <c r="AG33" s="65">
        <f t="shared" si="15"/>
        <v>113</v>
      </c>
      <c r="AH33" s="26">
        <f>ROUND(AVERAGE(AH24:AH32),0)</f>
        <v>6</v>
      </c>
      <c r="AI33" s="24"/>
      <c r="AJ33" s="24">
        <f>SUM(AJ24:AJ32)</f>
        <v>0</v>
      </c>
      <c r="AK33" s="65">
        <f t="shared" si="16"/>
        <v>119</v>
      </c>
    </row>
    <row r="34" spans="1:37" x14ac:dyDescent="0.25">
      <c r="A34" s="15" t="s">
        <v>31</v>
      </c>
      <c r="B34" s="29">
        <v>8</v>
      </c>
      <c r="C34" s="49"/>
      <c r="D34" s="30"/>
      <c r="E34" s="54">
        <f t="shared" si="2"/>
        <v>8</v>
      </c>
      <c r="F34" s="52">
        <v>10</v>
      </c>
      <c r="G34" s="53">
        <v>2</v>
      </c>
      <c r="H34" s="53"/>
      <c r="I34" s="54">
        <f t="shared" ref="I34:I41" si="25">SUM(F34:H34)+E34</f>
        <v>20</v>
      </c>
      <c r="J34" s="52">
        <v>10</v>
      </c>
      <c r="K34" s="55">
        <v>10</v>
      </c>
      <c r="L34" s="53"/>
      <c r="M34" s="54">
        <f t="shared" ref="M34:M41" si="26">SUM(J34:L34)+I34</f>
        <v>40</v>
      </c>
      <c r="N34" s="52">
        <v>10</v>
      </c>
      <c r="O34" s="53">
        <v>10</v>
      </c>
      <c r="P34" s="53"/>
      <c r="Q34" s="54">
        <f t="shared" ref="Q34:Q41" si="27">SUM(N34:P34)+M34</f>
        <v>60</v>
      </c>
      <c r="R34" s="52">
        <v>9</v>
      </c>
      <c r="S34" s="55">
        <v>8</v>
      </c>
      <c r="T34" s="53"/>
      <c r="U34" s="54">
        <f t="shared" ref="U34:U41" si="28">SUM(R34:T34)+Q34</f>
        <v>77</v>
      </c>
      <c r="V34" s="52">
        <v>9</v>
      </c>
      <c r="W34" s="53">
        <v>4</v>
      </c>
      <c r="X34" s="53"/>
      <c r="Y34" s="54">
        <f t="shared" ref="Y34:Y41" si="29">SUM(V34:X34)+U34</f>
        <v>90</v>
      </c>
      <c r="Z34" s="52">
        <v>8</v>
      </c>
      <c r="AA34" s="55">
        <v>12</v>
      </c>
      <c r="AB34" s="53"/>
      <c r="AC34" s="54">
        <f t="shared" ref="AC34:AC54" si="30">SUM(Z34:AB34)+Y34</f>
        <v>110</v>
      </c>
      <c r="AD34" s="52">
        <v>10</v>
      </c>
      <c r="AE34" s="53">
        <v>0</v>
      </c>
      <c r="AF34" s="53">
        <v>1</v>
      </c>
      <c r="AG34" s="54">
        <f t="shared" si="15"/>
        <v>121</v>
      </c>
      <c r="AH34" s="52">
        <v>10</v>
      </c>
      <c r="AI34" s="55"/>
      <c r="AJ34" s="53"/>
      <c r="AK34" s="54">
        <f t="shared" si="16"/>
        <v>131</v>
      </c>
    </row>
    <row r="35" spans="1:37" x14ac:dyDescent="0.25">
      <c r="A35" s="16" t="s">
        <v>32</v>
      </c>
      <c r="B35" s="32">
        <v>9</v>
      </c>
      <c r="C35" s="1"/>
      <c r="D35" s="1"/>
      <c r="E35" s="36">
        <f t="shared" si="2"/>
        <v>9</v>
      </c>
      <c r="F35" s="32">
        <v>9</v>
      </c>
      <c r="G35" s="1">
        <v>2</v>
      </c>
      <c r="H35" s="1"/>
      <c r="I35" s="33">
        <f t="shared" si="25"/>
        <v>20</v>
      </c>
      <c r="J35" s="32">
        <v>9</v>
      </c>
      <c r="K35" s="56">
        <v>10</v>
      </c>
      <c r="L35" s="1">
        <v>1</v>
      </c>
      <c r="M35" s="38">
        <f t="shared" si="26"/>
        <v>40</v>
      </c>
      <c r="N35" s="32">
        <v>8</v>
      </c>
      <c r="O35" s="1">
        <v>10</v>
      </c>
      <c r="P35" s="1">
        <v>1</v>
      </c>
      <c r="Q35" s="38">
        <f t="shared" si="27"/>
        <v>59</v>
      </c>
      <c r="R35" s="32">
        <v>9</v>
      </c>
      <c r="S35" s="56">
        <v>8</v>
      </c>
      <c r="T35" s="1"/>
      <c r="U35" s="38">
        <f t="shared" si="28"/>
        <v>76</v>
      </c>
      <c r="V35" s="32">
        <v>9</v>
      </c>
      <c r="W35" s="1">
        <v>4</v>
      </c>
      <c r="X35" s="1"/>
      <c r="Y35" s="38">
        <f t="shared" si="29"/>
        <v>89</v>
      </c>
      <c r="Z35" s="32">
        <v>7</v>
      </c>
      <c r="AA35" s="56">
        <v>12</v>
      </c>
      <c r="AB35" s="1">
        <v>2</v>
      </c>
      <c r="AC35" s="33">
        <f t="shared" si="30"/>
        <v>110</v>
      </c>
      <c r="AD35" s="32">
        <v>9</v>
      </c>
      <c r="AE35" s="1">
        <v>0</v>
      </c>
      <c r="AF35" s="1">
        <v>2</v>
      </c>
      <c r="AG35" s="38">
        <f t="shared" si="15"/>
        <v>121</v>
      </c>
      <c r="AH35" s="32">
        <v>7</v>
      </c>
      <c r="AI35" s="56"/>
      <c r="AJ35" s="1"/>
      <c r="AK35" s="33">
        <f t="shared" si="16"/>
        <v>128</v>
      </c>
    </row>
    <row r="36" spans="1:37" x14ac:dyDescent="0.25">
      <c r="A36" s="16" t="s">
        <v>33</v>
      </c>
      <c r="B36" s="32">
        <v>10</v>
      </c>
      <c r="C36" s="1"/>
      <c r="D36" s="1"/>
      <c r="E36" s="36">
        <f t="shared" si="2"/>
        <v>10</v>
      </c>
      <c r="F36" s="32">
        <v>10</v>
      </c>
      <c r="G36" s="1">
        <v>2</v>
      </c>
      <c r="H36" s="1"/>
      <c r="I36" s="38">
        <f t="shared" si="25"/>
        <v>22</v>
      </c>
      <c r="J36" s="32">
        <v>10</v>
      </c>
      <c r="K36" s="56">
        <v>10</v>
      </c>
      <c r="L36" s="1"/>
      <c r="M36" s="38">
        <f t="shared" si="26"/>
        <v>42</v>
      </c>
      <c r="N36" s="32">
        <v>9</v>
      </c>
      <c r="O36" s="1">
        <v>10</v>
      </c>
      <c r="P36" s="1"/>
      <c r="Q36" s="38">
        <f t="shared" si="27"/>
        <v>61</v>
      </c>
      <c r="R36" s="32">
        <v>8</v>
      </c>
      <c r="S36" s="56">
        <v>8</v>
      </c>
      <c r="T36" s="1"/>
      <c r="U36" s="38">
        <f t="shared" si="28"/>
        <v>77</v>
      </c>
      <c r="V36" s="32">
        <v>9</v>
      </c>
      <c r="W36" s="1">
        <v>4</v>
      </c>
      <c r="X36" s="1"/>
      <c r="Y36" s="38">
        <f t="shared" si="29"/>
        <v>90</v>
      </c>
      <c r="Z36" s="32">
        <v>7</v>
      </c>
      <c r="AA36" s="56">
        <v>12</v>
      </c>
      <c r="AB36" s="1"/>
      <c r="AC36" s="33">
        <f t="shared" si="30"/>
        <v>109</v>
      </c>
      <c r="AD36" s="32">
        <v>9</v>
      </c>
      <c r="AE36" s="1">
        <v>0</v>
      </c>
      <c r="AF36" s="1"/>
      <c r="AG36" s="38">
        <f t="shared" si="15"/>
        <v>118</v>
      </c>
      <c r="AH36" s="32">
        <v>9</v>
      </c>
      <c r="AI36" s="56"/>
      <c r="AJ36" s="1"/>
      <c r="AK36" s="33">
        <f t="shared" si="16"/>
        <v>127</v>
      </c>
    </row>
    <row r="37" spans="1:37" x14ac:dyDescent="0.25">
      <c r="A37" s="16" t="s">
        <v>34</v>
      </c>
      <c r="B37" s="32">
        <v>10</v>
      </c>
      <c r="C37" s="1"/>
      <c r="D37" s="1"/>
      <c r="E37" s="36">
        <f t="shared" si="2"/>
        <v>10</v>
      </c>
      <c r="F37" s="32">
        <v>10</v>
      </c>
      <c r="G37" s="1">
        <v>2</v>
      </c>
      <c r="H37" s="1"/>
      <c r="I37" s="38">
        <f t="shared" si="25"/>
        <v>22</v>
      </c>
      <c r="J37" s="32">
        <v>10</v>
      </c>
      <c r="K37" s="56">
        <v>10</v>
      </c>
      <c r="L37" s="1"/>
      <c r="M37" s="38">
        <f t="shared" si="26"/>
        <v>42</v>
      </c>
      <c r="N37" s="32">
        <v>6</v>
      </c>
      <c r="O37" s="1">
        <v>10</v>
      </c>
      <c r="P37" s="1"/>
      <c r="Q37" s="38">
        <f t="shared" si="27"/>
        <v>58</v>
      </c>
      <c r="R37" s="32">
        <v>8</v>
      </c>
      <c r="S37" s="56">
        <v>8</v>
      </c>
      <c r="T37" s="1"/>
      <c r="U37" s="38">
        <f t="shared" si="28"/>
        <v>74</v>
      </c>
      <c r="V37" s="32">
        <v>9</v>
      </c>
      <c r="W37" s="1">
        <v>4</v>
      </c>
      <c r="X37" s="1">
        <v>1</v>
      </c>
      <c r="Y37" s="38">
        <f t="shared" si="29"/>
        <v>88</v>
      </c>
      <c r="Z37" s="32">
        <v>9</v>
      </c>
      <c r="AA37" s="56">
        <v>12</v>
      </c>
      <c r="AB37" s="1"/>
      <c r="AC37" s="33">
        <f t="shared" si="30"/>
        <v>109</v>
      </c>
      <c r="AD37" s="32">
        <v>9</v>
      </c>
      <c r="AE37" s="1">
        <v>0</v>
      </c>
      <c r="AF37" s="1"/>
      <c r="AG37" s="38">
        <f t="shared" si="15"/>
        <v>118</v>
      </c>
      <c r="AH37" s="32">
        <v>8</v>
      </c>
      <c r="AI37" s="56"/>
      <c r="AJ37" s="1"/>
      <c r="AK37" s="33">
        <f t="shared" si="16"/>
        <v>126</v>
      </c>
    </row>
    <row r="38" spans="1:37" x14ac:dyDescent="0.25">
      <c r="A38" s="16" t="s">
        <v>35</v>
      </c>
      <c r="B38" s="32">
        <v>9</v>
      </c>
      <c r="C38" s="1"/>
      <c r="D38" s="1"/>
      <c r="E38" s="36">
        <f t="shared" si="2"/>
        <v>9</v>
      </c>
      <c r="F38" s="32">
        <v>7</v>
      </c>
      <c r="G38" s="1">
        <v>2</v>
      </c>
      <c r="H38" s="1"/>
      <c r="I38" s="38">
        <f t="shared" si="25"/>
        <v>18</v>
      </c>
      <c r="J38" s="32">
        <v>7</v>
      </c>
      <c r="K38" s="56">
        <v>10</v>
      </c>
      <c r="L38" s="1"/>
      <c r="M38" s="38">
        <f t="shared" si="26"/>
        <v>35</v>
      </c>
      <c r="N38" s="32">
        <v>7</v>
      </c>
      <c r="O38" s="1">
        <v>10</v>
      </c>
      <c r="P38" s="1"/>
      <c r="Q38" s="38">
        <f t="shared" si="27"/>
        <v>52</v>
      </c>
      <c r="R38" s="32">
        <v>9</v>
      </c>
      <c r="S38" s="56">
        <v>8</v>
      </c>
      <c r="T38" s="1"/>
      <c r="U38" s="38">
        <f t="shared" si="28"/>
        <v>69</v>
      </c>
      <c r="V38" s="32">
        <v>9</v>
      </c>
      <c r="W38" s="1">
        <v>4</v>
      </c>
      <c r="X38" s="1"/>
      <c r="Y38" s="38">
        <f t="shared" si="29"/>
        <v>82</v>
      </c>
      <c r="Z38" s="32">
        <v>6</v>
      </c>
      <c r="AA38" s="56">
        <v>12</v>
      </c>
      <c r="AB38" s="1">
        <v>1</v>
      </c>
      <c r="AC38" s="33">
        <f t="shared" si="30"/>
        <v>101</v>
      </c>
      <c r="AD38" s="32">
        <v>6</v>
      </c>
      <c r="AE38" s="1">
        <v>0</v>
      </c>
      <c r="AF38" s="1"/>
      <c r="AG38" s="38">
        <f t="shared" si="15"/>
        <v>107</v>
      </c>
      <c r="AH38" s="32">
        <v>8</v>
      </c>
      <c r="AI38" s="56"/>
      <c r="AJ38" s="1"/>
      <c r="AK38" s="33">
        <f t="shared" si="16"/>
        <v>115</v>
      </c>
    </row>
    <row r="39" spans="1:37" x14ac:dyDescent="0.25">
      <c r="A39" s="16" t="s">
        <v>36</v>
      </c>
      <c r="B39" s="32">
        <v>10</v>
      </c>
      <c r="C39" s="1"/>
      <c r="D39" s="1"/>
      <c r="E39" s="36">
        <f t="shared" si="2"/>
        <v>10</v>
      </c>
      <c r="F39" s="32">
        <v>9</v>
      </c>
      <c r="G39" s="1">
        <v>2</v>
      </c>
      <c r="H39" s="1"/>
      <c r="I39" s="38">
        <f t="shared" si="25"/>
        <v>21</v>
      </c>
      <c r="J39" s="32">
        <v>9</v>
      </c>
      <c r="K39" s="56">
        <v>10</v>
      </c>
      <c r="L39" s="1">
        <v>1</v>
      </c>
      <c r="M39" s="38">
        <f t="shared" si="26"/>
        <v>41</v>
      </c>
      <c r="N39" s="32">
        <v>8</v>
      </c>
      <c r="O39" s="1">
        <v>10</v>
      </c>
      <c r="P39" s="1"/>
      <c r="Q39" s="38">
        <f t="shared" si="27"/>
        <v>59</v>
      </c>
      <c r="R39" s="32">
        <v>8</v>
      </c>
      <c r="S39" s="56">
        <v>8</v>
      </c>
      <c r="T39" s="1"/>
      <c r="U39" s="38">
        <f t="shared" si="28"/>
        <v>75</v>
      </c>
      <c r="V39" s="32">
        <v>10</v>
      </c>
      <c r="W39" s="1">
        <v>4</v>
      </c>
      <c r="X39" s="1"/>
      <c r="Y39" s="38">
        <f t="shared" si="29"/>
        <v>89</v>
      </c>
      <c r="Z39" s="32">
        <v>8</v>
      </c>
      <c r="AA39" s="56">
        <v>12</v>
      </c>
      <c r="AB39" s="1">
        <v>2</v>
      </c>
      <c r="AC39" s="33">
        <f t="shared" si="30"/>
        <v>111</v>
      </c>
      <c r="AD39" s="32">
        <v>8</v>
      </c>
      <c r="AE39" s="1">
        <v>0</v>
      </c>
      <c r="AF39" s="1"/>
      <c r="AG39" s="38">
        <f t="shared" si="15"/>
        <v>119</v>
      </c>
      <c r="AH39" s="32">
        <v>5</v>
      </c>
      <c r="AI39" s="56"/>
      <c r="AJ39" s="1"/>
      <c r="AK39" s="33">
        <f t="shared" si="16"/>
        <v>124</v>
      </c>
    </row>
    <row r="40" spans="1:37" x14ac:dyDescent="0.25">
      <c r="A40" s="16" t="s">
        <v>37</v>
      </c>
      <c r="B40" s="32">
        <v>10</v>
      </c>
      <c r="C40" s="1"/>
      <c r="D40" s="1"/>
      <c r="E40" s="36">
        <f t="shared" si="2"/>
        <v>10</v>
      </c>
      <c r="F40" s="32">
        <v>10</v>
      </c>
      <c r="G40" s="1">
        <v>2</v>
      </c>
      <c r="H40" s="1"/>
      <c r="I40" s="38">
        <f t="shared" si="25"/>
        <v>22</v>
      </c>
      <c r="J40" s="32">
        <v>10</v>
      </c>
      <c r="K40" s="56">
        <v>10</v>
      </c>
      <c r="L40" s="1"/>
      <c r="M40" s="38">
        <f t="shared" si="26"/>
        <v>42</v>
      </c>
      <c r="N40" s="32">
        <v>9</v>
      </c>
      <c r="O40" s="1">
        <v>10</v>
      </c>
      <c r="P40" s="1"/>
      <c r="Q40" s="38">
        <f t="shared" si="27"/>
        <v>61</v>
      </c>
      <c r="R40" s="32">
        <v>9</v>
      </c>
      <c r="S40" s="56">
        <v>8</v>
      </c>
      <c r="T40" s="1"/>
      <c r="U40" s="38">
        <f t="shared" si="28"/>
        <v>78</v>
      </c>
      <c r="V40" s="32">
        <v>10</v>
      </c>
      <c r="W40" s="1">
        <v>4</v>
      </c>
      <c r="X40" s="1"/>
      <c r="Y40" s="38">
        <f t="shared" si="29"/>
        <v>92</v>
      </c>
      <c r="Z40" s="32">
        <v>10</v>
      </c>
      <c r="AA40" s="56">
        <v>12</v>
      </c>
      <c r="AB40" s="1">
        <v>1</v>
      </c>
      <c r="AC40" s="33">
        <f t="shared" si="30"/>
        <v>115</v>
      </c>
      <c r="AD40" s="32">
        <v>10</v>
      </c>
      <c r="AE40" s="1">
        <v>0</v>
      </c>
      <c r="AF40" s="1">
        <v>1</v>
      </c>
      <c r="AG40" s="38">
        <f t="shared" si="15"/>
        <v>126</v>
      </c>
      <c r="AH40" s="32">
        <v>9</v>
      </c>
      <c r="AI40" s="56"/>
      <c r="AJ40" s="1"/>
      <c r="AK40" s="33">
        <f t="shared" si="16"/>
        <v>135</v>
      </c>
    </row>
    <row r="41" spans="1:37" x14ac:dyDescent="0.25">
      <c r="A41" s="16" t="s">
        <v>38</v>
      </c>
      <c r="B41" s="32">
        <v>9</v>
      </c>
      <c r="C41" s="1"/>
      <c r="D41" s="1"/>
      <c r="E41" s="36">
        <f t="shared" si="2"/>
        <v>9</v>
      </c>
      <c r="F41" s="32">
        <v>10</v>
      </c>
      <c r="G41" s="1">
        <v>2</v>
      </c>
      <c r="H41" s="1"/>
      <c r="I41" s="38">
        <f t="shared" si="25"/>
        <v>21</v>
      </c>
      <c r="J41" s="32">
        <v>10</v>
      </c>
      <c r="K41" s="56">
        <v>10</v>
      </c>
      <c r="L41" s="1">
        <v>1</v>
      </c>
      <c r="M41" s="38">
        <f t="shared" si="26"/>
        <v>42</v>
      </c>
      <c r="N41" s="32">
        <v>9</v>
      </c>
      <c r="O41" s="1">
        <v>10</v>
      </c>
      <c r="P41" s="1"/>
      <c r="Q41" s="38">
        <f t="shared" si="27"/>
        <v>61</v>
      </c>
      <c r="R41" s="32">
        <v>8</v>
      </c>
      <c r="S41" s="56">
        <v>8</v>
      </c>
      <c r="T41" s="1">
        <v>1</v>
      </c>
      <c r="U41" s="38">
        <f t="shared" si="28"/>
        <v>78</v>
      </c>
      <c r="V41" s="32">
        <v>9</v>
      </c>
      <c r="W41" s="1">
        <v>4</v>
      </c>
      <c r="X41" s="1"/>
      <c r="Y41" s="38">
        <f t="shared" si="29"/>
        <v>91</v>
      </c>
      <c r="Z41" s="32">
        <v>6</v>
      </c>
      <c r="AA41" s="56">
        <v>12</v>
      </c>
      <c r="AB41" s="1"/>
      <c r="AC41" s="33">
        <f t="shared" si="30"/>
        <v>109</v>
      </c>
      <c r="AD41" s="32">
        <v>8</v>
      </c>
      <c r="AE41" s="1">
        <v>0</v>
      </c>
      <c r="AF41" s="1">
        <v>1</v>
      </c>
      <c r="AG41" s="38">
        <f t="shared" si="15"/>
        <v>118</v>
      </c>
      <c r="AH41" s="32"/>
      <c r="AI41" s="56"/>
      <c r="AJ41" s="1"/>
      <c r="AK41" s="33">
        <f t="shared" si="16"/>
        <v>118</v>
      </c>
    </row>
    <row r="42" spans="1:37" ht="15.75" thickBot="1" x14ac:dyDescent="0.3">
      <c r="A42" s="17" t="s">
        <v>39</v>
      </c>
      <c r="B42" s="34"/>
      <c r="C42" s="35"/>
      <c r="D42" s="35"/>
      <c r="E42" s="36">
        <f t="shared" si="2"/>
        <v>0</v>
      </c>
      <c r="F42" s="34"/>
      <c r="G42" s="35"/>
      <c r="H42" s="35"/>
      <c r="I42" s="41"/>
      <c r="J42" s="34"/>
      <c r="K42" s="35"/>
      <c r="L42" s="35"/>
      <c r="M42" s="41"/>
      <c r="N42" s="34"/>
      <c r="O42" s="35"/>
      <c r="P42" s="35"/>
      <c r="Q42" s="41"/>
      <c r="R42" s="34"/>
      <c r="S42" s="35"/>
      <c r="T42" s="35"/>
      <c r="U42" s="41"/>
      <c r="V42" s="34"/>
      <c r="W42" s="35"/>
      <c r="X42" s="35"/>
      <c r="Y42" s="41"/>
      <c r="Z42" s="34"/>
      <c r="AA42" s="57">
        <v>12</v>
      </c>
      <c r="AB42" s="35"/>
      <c r="AC42" s="36">
        <f t="shared" si="30"/>
        <v>12</v>
      </c>
      <c r="AD42" s="34">
        <v>10</v>
      </c>
      <c r="AE42" s="35">
        <v>0</v>
      </c>
      <c r="AF42" s="35">
        <v>2</v>
      </c>
      <c r="AG42" s="41">
        <f t="shared" si="15"/>
        <v>24</v>
      </c>
      <c r="AH42" s="34">
        <v>9</v>
      </c>
      <c r="AI42" s="57"/>
      <c r="AJ42" s="35"/>
      <c r="AK42" s="36">
        <f t="shared" si="16"/>
        <v>33</v>
      </c>
    </row>
    <row r="43" spans="1:37" ht="15.75" thickBot="1" x14ac:dyDescent="0.3">
      <c r="A43" s="18" t="s">
        <v>40</v>
      </c>
      <c r="B43" s="23">
        <f>ROUND(AVERAGE(B34:B42),0)</f>
        <v>9</v>
      </c>
      <c r="C43" s="24">
        <v>0</v>
      </c>
      <c r="D43" s="24">
        <f>SUM(D34:D42)</f>
        <v>0</v>
      </c>
      <c r="E43" s="68">
        <f t="shared" si="2"/>
        <v>9</v>
      </c>
      <c r="F43" s="48">
        <f>ROUND(AVERAGE(F34:F42),0)</f>
        <v>9</v>
      </c>
      <c r="G43" s="46">
        <f>ROUND(AVERAGE(G34:G42),0)</f>
        <v>2</v>
      </c>
      <c r="H43" s="46">
        <f>SUM(H34:H42)</f>
        <v>0</v>
      </c>
      <c r="I43" s="67">
        <f t="shared" ref="I43" si="31">SUM(F43:H43)+E43</f>
        <v>20</v>
      </c>
      <c r="J43" s="48">
        <f>ROUND(AVERAGE(J34:J42),0)</f>
        <v>9</v>
      </c>
      <c r="K43" s="46">
        <f>ROUND(AVERAGE(K34:K42),0)</f>
        <v>10</v>
      </c>
      <c r="L43" s="46">
        <f>SUM(L34:L42)</f>
        <v>3</v>
      </c>
      <c r="M43" s="67">
        <f t="shared" ref="M43" si="32">SUM(J43:L43)+I43</f>
        <v>42</v>
      </c>
      <c r="N43" s="48">
        <f>ROUND(AVERAGE(N34:N42),0)</f>
        <v>8</v>
      </c>
      <c r="O43" s="46">
        <f>ROUND(AVERAGE(O34:O42),0)</f>
        <v>10</v>
      </c>
      <c r="P43" s="46">
        <f>SUM(P34:P42)</f>
        <v>1</v>
      </c>
      <c r="Q43" s="67">
        <f t="shared" ref="Q43" si="33">SUM(N43:P43)+M43</f>
        <v>61</v>
      </c>
      <c r="R43" s="48">
        <f>ROUND(AVERAGE(R34:R42),0)</f>
        <v>9</v>
      </c>
      <c r="S43" s="46">
        <f>ROUND(AVERAGE(S34:S42),0)</f>
        <v>8</v>
      </c>
      <c r="T43" s="46">
        <f>SUM(T34:T42)</f>
        <v>1</v>
      </c>
      <c r="U43" s="67">
        <f t="shared" ref="U43" si="34">SUM(R43:T43)+Q43</f>
        <v>79</v>
      </c>
      <c r="V43" s="48">
        <f>ROUND(AVERAGE(V34:V42),0)</f>
        <v>9</v>
      </c>
      <c r="W43" s="46">
        <f>ROUND(AVERAGE(W34:W42),0)</f>
        <v>4</v>
      </c>
      <c r="X43" s="46">
        <f>SUM(X34:X42)</f>
        <v>1</v>
      </c>
      <c r="Y43" s="67">
        <f t="shared" ref="Y43" si="35">SUM(V43:X43)+U43</f>
        <v>93</v>
      </c>
      <c r="Z43" s="48">
        <f>ROUND(AVERAGE(Z34:Z42),0)</f>
        <v>8</v>
      </c>
      <c r="AA43" s="46">
        <f>ROUND(AVERAGE(AA34:AA42),0)</f>
        <v>12</v>
      </c>
      <c r="AB43" s="46">
        <f>SUM(AB34:AB42)</f>
        <v>6</v>
      </c>
      <c r="AC43" s="61">
        <f t="shared" si="30"/>
        <v>119</v>
      </c>
      <c r="AD43" s="48">
        <f>ROUND(AVERAGE(AD34:AD42),0)</f>
        <v>9</v>
      </c>
      <c r="AE43" s="27">
        <f>ROUND(AVERAGE(AE34:AE42),0)</f>
        <v>0</v>
      </c>
      <c r="AF43" s="46">
        <f>SUM(AF34:AF42)</f>
        <v>7</v>
      </c>
      <c r="AG43" s="67">
        <f t="shared" ref="AG43:AG52" si="36">SUM(AD43:AF43)+AC43</f>
        <v>135</v>
      </c>
      <c r="AH43" s="48">
        <f>ROUND(AVERAGE(AH34:AH42),0)</f>
        <v>8</v>
      </c>
      <c r="AI43" s="46"/>
      <c r="AJ43" s="46">
        <f>SUM(AJ34:AJ42)</f>
        <v>0</v>
      </c>
      <c r="AK43" s="61">
        <f t="shared" si="16"/>
        <v>143</v>
      </c>
    </row>
    <row r="44" spans="1:37" x14ac:dyDescent="0.25">
      <c r="A44" s="19" t="s">
        <v>41</v>
      </c>
      <c r="B44" s="29">
        <v>6</v>
      </c>
      <c r="C44" s="30"/>
      <c r="D44" s="30"/>
      <c r="E44" s="54">
        <f t="shared" si="2"/>
        <v>6</v>
      </c>
      <c r="F44" s="43">
        <v>10</v>
      </c>
      <c r="G44" s="40">
        <v>7</v>
      </c>
      <c r="H44" s="40"/>
      <c r="I44" s="50">
        <f t="shared" ref="I44:I52" si="37">SUM(F44:H44)+E44</f>
        <v>23</v>
      </c>
      <c r="J44" s="43">
        <v>10</v>
      </c>
      <c r="K44" s="40">
        <v>8</v>
      </c>
      <c r="L44" s="40"/>
      <c r="M44" s="50">
        <f t="shared" ref="M44:M52" si="38">SUM(J44:L44)+I44</f>
        <v>41</v>
      </c>
      <c r="N44" s="43">
        <v>9</v>
      </c>
      <c r="O44" s="40">
        <v>6</v>
      </c>
      <c r="P44" s="40"/>
      <c r="Q44" s="50">
        <f t="shared" ref="Q44:Q52" si="39">SUM(N44:P44)+M44</f>
        <v>56</v>
      </c>
      <c r="R44" s="43">
        <v>10</v>
      </c>
      <c r="S44" s="40">
        <v>10</v>
      </c>
      <c r="T44" s="40"/>
      <c r="U44" s="50">
        <f t="shared" ref="U44:U52" si="40">SUM(R44:T44)+Q44</f>
        <v>76</v>
      </c>
      <c r="V44" s="43">
        <v>10</v>
      </c>
      <c r="W44" s="40">
        <v>8</v>
      </c>
      <c r="X44" s="40">
        <v>1</v>
      </c>
      <c r="Y44" s="50">
        <f t="shared" ref="Y44:Y52" si="41">SUM(V44:X44)+U44</f>
        <v>95</v>
      </c>
      <c r="Z44" s="43">
        <v>8</v>
      </c>
      <c r="AA44" s="40">
        <v>13</v>
      </c>
      <c r="AB44" s="40"/>
      <c r="AC44" s="44">
        <f t="shared" si="30"/>
        <v>116</v>
      </c>
      <c r="AD44" s="43">
        <v>10</v>
      </c>
      <c r="AE44" s="40">
        <v>0</v>
      </c>
      <c r="AF44" s="40"/>
      <c r="AG44" s="50">
        <f t="shared" si="36"/>
        <v>126</v>
      </c>
      <c r="AH44" s="43">
        <v>9</v>
      </c>
      <c r="AI44" s="40"/>
      <c r="AJ44" s="40"/>
      <c r="AK44" s="44">
        <f t="shared" si="16"/>
        <v>135</v>
      </c>
    </row>
    <row r="45" spans="1:37" x14ac:dyDescent="0.25">
      <c r="A45" s="20" t="s">
        <v>42</v>
      </c>
      <c r="B45" s="32">
        <v>10</v>
      </c>
      <c r="C45" s="1"/>
      <c r="D45" s="1"/>
      <c r="E45" s="36">
        <f t="shared" si="2"/>
        <v>10</v>
      </c>
      <c r="F45" s="32">
        <v>7</v>
      </c>
      <c r="G45" s="1">
        <v>7</v>
      </c>
      <c r="H45" s="1"/>
      <c r="I45" s="38">
        <f t="shared" si="37"/>
        <v>24</v>
      </c>
      <c r="J45" s="32">
        <v>10</v>
      </c>
      <c r="K45" s="1">
        <v>8</v>
      </c>
      <c r="L45" s="1">
        <v>1</v>
      </c>
      <c r="M45" s="38">
        <f t="shared" si="38"/>
        <v>43</v>
      </c>
      <c r="N45" s="32">
        <v>9</v>
      </c>
      <c r="O45" s="1">
        <v>6</v>
      </c>
      <c r="P45" s="1"/>
      <c r="Q45" s="38">
        <f t="shared" si="39"/>
        <v>58</v>
      </c>
      <c r="R45" s="32">
        <v>9</v>
      </c>
      <c r="S45" s="1">
        <v>10</v>
      </c>
      <c r="T45" s="1"/>
      <c r="U45" s="38">
        <f t="shared" si="40"/>
        <v>77</v>
      </c>
      <c r="V45" s="32">
        <v>9</v>
      </c>
      <c r="W45" s="1">
        <v>8</v>
      </c>
      <c r="X45" s="1">
        <v>1</v>
      </c>
      <c r="Y45" s="38">
        <f t="shared" si="41"/>
        <v>95</v>
      </c>
      <c r="Z45" s="32">
        <v>9</v>
      </c>
      <c r="AA45" s="1">
        <v>13</v>
      </c>
      <c r="AB45" s="1"/>
      <c r="AC45" s="33">
        <f t="shared" si="30"/>
        <v>117</v>
      </c>
      <c r="AD45" s="32">
        <v>7</v>
      </c>
      <c r="AE45" s="1">
        <v>0</v>
      </c>
      <c r="AF45" s="1">
        <v>3</v>
      </c>
      <c r="AG45" s="38">
        <f t="shared" si="36"/>
        <v>127</v>
      </c>
      <c r="AH45" s="32">
        <v>9</v>
      </c>
      <c r="AI45" s="1"/>
      <c r="AJ45" s="1"/>
      <c r="AK45" s="33">
        <f t="shared" si="16"/>
        <v>136</v>
      </c>
    </row>
    <row r="46" spans="1:37" x14ac:dyDescent="0.25">
      <c r="A46" s="20" t="s">
        <v>43</v>
      </c>
      <c r="B46" s="32">
        <v>8</v>
      </c>
      <c r="C46" s="1"/>
      <c r="D46" s="1"/>
      <c r="E46" s="36">
        <f t="shared" si="2"/>
        <v>8</v>
      </c>
      <c r="F46" s="32">
        <v>9</v>
      </c>
      <c r="G46" s="1">
        <v>7</v>
      </c>
      <c r="H46" s="1"/>
      <c r="I46" s="38">
        <f t="shared" si="37"/>
        <v>24</v>
      </c>
      <c r="J46" s="32">
        <v>10</v>
      </c>
      <c r="K46" s="1">
        <v>8</v>
      </c>
      <c r="L46" s="1"/>
      <c r="M46" s="38">
        <f t="shared" si="38"/>
        <v>42</v>
      </c>
      <c r="N46" s="32">
        <v>10</v>
      </c>
      <c r="O46" s="1">
        <v>6</v>
      </c>
      <c r="P46" s="1"/>
      <c r="Q46" s="38">
        <f t="shared" si="39"/>
        <v>58</v>
      </c>
      <c r="R46" s="32">
        <v>9</v>
      </c>
      <c r="S46" s="1">
        <v>10</v>
      </c>
      <c r="T46" s="1">
        <v>1</v>
      </c>
      <c r="U46" s="38">
        <f t="shared" si="40"/>
        <v>78</v>
      </c>
      <c r="V46" s="32">
        <v>9</v>
      </c>
      <c r="W46" s="1">
        <v>8</v>
      </c>
      <c r="X46" s="1"/>
      <c r="Y46" s="38">
        <f t="shared" si="41"/>
        <v>95</v>
      </c>
      <c r="Z46" s="32">
        <v>8</v>
      </c>
      <c r="AA46" s="1">
        <v>13</v>
      </c>
      <c r="AB46" s="1"/>
      <c r="AC46" s="33">
        <f t="shared" si="30"/>
        <v>116</v>
      </c>
      <c r="AD46" s="32">
        <v>10</v>
      </c>
      <c r="AE46" s="1">
        <v>0</v>
      </c>
      <c r="AF46" s="1">
        <v>1</v>
      </c>
      <c r="AG46" s="38">
        <f t="shared" si="36"/>
        <v>127</v>
      </c>
      <c r="AH46" s="32">
        <v>10</v>
      </c>
      <c r="AI46" s="1"/>
      <c r="AJ46" s="1"/>
      <c r="AK46" s="33">
        <f t="shared" si="16"/>
        <v>137</v>
      </c>
    </row>
    <row r="47" spans="1:37" x14ac:dyDescent="0.25">
      <c r="A47" s="20" t="s">
        <v>44</v>
      </c>
      <c r="B47" s="32">
        <v>9</v>
      </c>
      <c r="C47" s="1"/>
      <c r="D47" s="1"/>
      <c r="E47" s="36">
        <f t="shared" si="2"/>
        <v>9</v>
      </c>
      <c r="F47" s="32">
        <v>8</v>
      </c>
      <c r="G47" s="1">
        <v>7</v>
      </c>
      <c r="H47" s="1"/>
      <c r="I47" s="38">
        <f t="shared" si="37"/>
        <v>24</v>
      </c>
      <c r="J47" s="32">
        <v>10</v>
      </c>
      <c r="K47" s="1">
        <v>8</v>
      </c>
      <c r="L47" s="1"/>
      <c r="M47" s="38">
        <f t="shared" si="38"/>
        <v>42</v>
      </c>
      <c r="N47" s="32">
        <v>7</v>
      </c>
      <c r="O47" s="1">
        <v>6</v>
      </c>
      <c r="P47" s="1"/>
      <c r="Q47" s="38">
        <f t="shared" si="39"/>
        <v>55</v>
      </c>
      <c r="R47" s="32">
        <v>6</v>
      </c>
      <c r="S47" s="1">
        <v>10</v>
      </c>
      <c r="T47" s="1"/>
      <c r="U47" s="38">
        <f t="shared" si="40"/>
        <v>71</v>
      </c>
      <c r="V47" s="32">
        <v>9</v>
      </c>
      <c r="W47" s="1">
        <v>8</v>
      </c>
      <c r="X47" s="1"/>
      <c r="Y47" s="38">
        <f t="shared" si="41"/>
        <v>88</v>
      </c>
      <c r="Z47" s="32">
        <v>7</v>
      </c>
      <c r="AA47" s="1">
        <v>13</v>
      </c>
      <c r="AB47" s="1"/>
      <c r="AC47" s="33">
        <f t="shared" si="30"/>
        <v>108</v>
      </c>
      <c r="AD47" s="32">
        <v>9</v>
      </c>
      <c r="AE47" s="1">
        <v>0</v>
      </c>
      <c r="AF47" s="1"/>
      <c r="AG47" s="38">
        <f t="shared" si="36"/>
        <v>117</v>
      </c>
      <c r="AH47" s="32">
        <v>6</v>
      </c>
      <c r="AI47" s="1"/>
      <c r="AJ47" s="1"/>
      <c r="AK47" s="33">
        <f t="shared" si="16"/>
        <v>123</v>
      </c>
    </row>
    <row r="48" spans="1:37" x14ac:dyDescent="0.25">
      <c r="A48" s="20" t="s">
        <v>45</v>
      </c>
      <c r="B48" s="32">
        <v>10</v>
      </c>
      <c r="C48" s="1"/>
      <c r="D48" s="1"/>
      <c r="E48" s="36">
        <f t="shared" si="2"/>
        <v>10</v>
      </c>
      <c r="F48" s="32">
        <v>10</v>
      </c>
      <c r="G48" s="1">
        <v>7</v>
      </c>
      <c r="H48" s="1"/>
      <c r="I48" s="38">
        <f t="shared" si="37"/>
        <v>27</v>
      </c>
      <c r="J48" s="32">
        <v>10</v>
      </c>
      <c r="K48" s="1">
        <v>8</v>
      </c>
      <c r="L48" s="1"/>
      <c r="M48" s="38">
        <f t="shared" si="38"/>
        <v>45</v>
      </c>
      <c r="N48" s="32">
        <v>9</v>
      </c>
      <c r="O48" s="1">
        <v>6</v>
      </c>
      <c r="P48" s="1"/>
      <c r="Q48" s="38">
        <f t="shared" si="39"/>
        <v>60</v>
      </c>
      <c r="R48" s="32">
        <v>8</v>
      </c>
      <c r="S48" s="1">
        <v>10</v>
      </c>
      <c r="T48" s="1">
        <v>1</v>
      </c>
      <c r="U48" s="38">
        <f t="shared" si="40"/>
        <v>79</v>
      </c>
      <c r="V48" s="32">
        <v>9</v>
      </c>
      <c r="W48" s="1">
        <v>8</v>
      </c>
      <c r="X48" s="1">
        <v>1</v>
      </c>
      <c r="Y48" s="38">
        <f t="shared" si="41"/>
        <v>97</v>
      </c>
      <c r="Z48" s="32">
        <v>7</v>
      </c>
      <c r="AA48" s="1">
        <v>13</v>
      </c>
      <c r="AB48" s="1"/>
      <c r="AC48" s="33">
        <f t="shared" si="30"/>
        <v>117</v>
      </c>
      <c r="AD48" s="32">
        <v>9</v>
      </c>
      <c r="AE48" s="1">
        <v>0</v>
      </c>
      <c r="AF48" s="1">
        <v>2</v>
      </c>
      <c r="AG48" s="38">
        <f t="shared" si="36"/>
        <v>128</v>
      </c>
      <c r="AH48" s="32">
        <v>9</v>
      </c>
      <c r="AI48" s="1"/>
      <c r="AJ48" s="1"/>
      <c r="AK48" s="33">
        <f t="shared" si="16"/>
        <v>137</v>
      </c>
    </row>
    <row r="49" spans="1:37" x14ac:dyDescent="0.25">
      <c r="A49" s="20" t="s">
        <v>46</v>
      </c>
      <c r="B49" s="32">
        <v>9</v>
      </c>
      <c r="C49" s="1"/>
      <c r="D49" s="1"/>
      <c r="E49" s="36">
        <f t="shared" si="2"/>
        <v>9</v>
      </c>
      <c r="F49" s="32">
        <v>10</v>
      </c>
      <c r="G49" s="1">
        <v>7</v>
      </c>
      <c r="H49" s="1"/>
      <c r="I49" s="38">
        <f t="shared" si="37"/>
        <v>26</v>
      </c>
      <c r="J49" s="32">
        <v>10</v>
      </c>
      <c r="K49" s="1">
        <v>8</v>
      </c>
      <c r="L49" s="1"/>
      <c r="M49" s="38">
        <f t="shared" si="38"/>
        <v>44</v>
      </c>
      <c r="N49" s="32">
        <v>9</v>
      </c>
      <c r="O49" s="1">
        <v>6</v>
      </c>
      <c r="P49" s="1"/>
      <c r="Q49" s="38">
        <f t="shared" si="39"/>
        <v>59</v>
      </c>
      <c r="R49" s="32">
        <v>10</v>
      </c>
      <c r="S49" s="1">
        <v>10</v>
      </c>
      <c r="T49" s="1"/>
      <c r="U49" s="38">
        <f t="shared" si="40"/>
        <v>79</v>
      </c>
      <c r="V49" s="32">
        <v>10</v>
      </c>
      <c r="W49" s="1">
        <v>8</v>
      </c>
      <c r="X49" s="1"/>
      <c r="Y49" s="38">
        <f t="shared" si="41"/>
        <v>97</v>
      </c>
      <c r="Z49" s="32">
        <v>8</v>
      </c>
      <c r="AA49" s="1">
        <v>13</v>
      </c>
      <c r="AB49" s="1"/>
      <c r="AC49" s="33">
        <f t="shared" si="30"/>
        <v>118</v>
      </c>
      <c r="AD49" s="32">
        <v>8</v>
      </c>
      <c r="AE49" s="1">
        <v>0</v>
      </c>
      <c r="AF49" s="1">
        <v>1</v>
      </c>
      <c r="AG49" s="38">
        <f t="shared" si="36"/>
        <v>127</v>
      </c>
      <c r="AH49" s="32">
        <v>7</v>
      </c>
      <c r="AI49" s="1"/>
      <c r="AJ49" s="1"/>
      <c r="AK49" s="33">
        <f t="shared" si="16"/>
        <v>134</v>
      </c>
    </row>
    <row r="50" spans="1:37" x14ac:dyDescent="0.25">
      <c r="A50" s="20" t="s">
        <v>47</v>
      </c>
      <c r="B50" s="32">
        <v>9</v>
      </c>
      <c r="C50" s="1"/>
      <c r="D50" s="1"/>
      <c r="E50" s="36">
        <f t="shared" si="2"/>
        <v>9</v>
      </c>
      <c r="F50" s="32">
        <v>9</v>
      </c>
      <c r="G50" s="1">
        <v>7</v>
      </c>
      <c r="H50" s="1"/>
      <c r="I50" s="38">
        <f t="shared" si="37"/>
        <v>25</v>
      </c>
      <c r="J50" s="32">
        <v>10</v>
      </c>
      <c r="K50" s="1">
        <v>8</v>
      </c>
      <c r="L50" s="1"/>
      <c r="M50" s="38">
        <f t="shared" si="38"/>
        <v>43</v>
      </c>
      <c r="N50" s="32">
        <v>7</v>
      </c>
      <c r="O50" s="1">
        <v>6</v>
      </c>
      <c r="P50" s="1"/>
      <c r="Q50" s="38">
        <f t="shared" si="39"/>
        <v>56</v>
      </c>
      <c r="R50" s="32">
        <v>8</v>
      </c>
      <c r="S50" s="1">
        <v>10</v>
      </c>
      <c r="T50" s="1">
        <v>1</v>
      </c>
      <c r="U50" s="38">
        <f t="shared" si="40"/>
        <v>75</v>
      </c>
      <c r="V50" s="32">
        <v>10</v>
      </c>
      <c r="W50" s="1">
        <v>8</v>
      </c>
      <c r="X50" s="1"/>
      <c r="Y50" s="38">
        <f t="shared" si="41"/>
        <v>93</v>
      </c>
      <c r="Z50" s="32">
        <v>8</v>
      </c>
      <c r="AA50" s="1">
        <v>13</v>
      </c>
      <c r="AB50" s="1">
        <v>2</v>
      </c>
      <c r="AC50" s="33">
        <f t="shared" si="30"/>
        <v>116</v>
      </c>
      <c r="AD50" s="32">
        <v>9</v>
      </c>
      <c r="AE50" s="1">
        <v>0</v>
      </c>
      <c r="AF50" s="1">
        <v>2</v>
      </c>
      <c r="AG50" s="38">
        <f t="shared" si="36"/>
        <v>127</v>
      </c>
      <c r="AH50" s="32">
        <v>6</v>
      </c>
      <c r="AI50" s="1"/>
      <c r="AJ50" s="1"/>
      <c r="AK50" s="33">
        <f t="shared" si="16"/>
        <v>133</v>
      </c>
    </row>
    <row r="51" spans="1:37" x14ac:dyDescent="0.25">
      <c r="A51" s="20" t="s">
        <v>48</v>
      </c>
      <c r="B51" s="32">
        <v>10</v>
      </c>
      <c r="C51" s="1"/>
      <c r="D51" s="1"/>
      <c r="E51" s="36">
        <f t="shared" si="2"/>
        <v>10</v>
      </c>
      <c r="F51" s="32">
        <v>10</v>
      </c>
      <c r="G51" s="1">
        <v>7</v>
      </c>
      <c r="H51" s="1"/>
      <c r="I51" s="38">
        <f t="shared" si="37"/>
        <v>27</v>
      </c>
      <c r="J51" s="32">
        <v>10</v>
      </c>
      <c r="K51" s="1">
        <v>8</v>
      </c>
      <c r="L51" s="1"/>
      <c r="M51" s="38">
        <f t="shared" si="38"/>
        <v>45</v>
      </c>
      <c r="N51" s="32">
        <v>9</v>
      </c>
      <c r="O51" s="1">
        <v>6</v>
      </c>
      <c r="P51" s="1">
        <v>1</v>
      </c>
      <c r="Q51" s="38">
        <f t="shared" si="39"/>
        <v>61</v>
      </c>
      <c r="R51" s="32">
        <v>9</v>
      </c>
      <c r="S51" s="1">
        <v>10</v>
      </c>
      <c r="T51" s="1"/>
      <c r="U51" s="38">
        <f t="shared" si="40"/>
        <v>80</v>
      </c>
      <c r="V51" s="32">
        <v>10</v>
      </c>
      <c r="W51" s="1">
        <v>8</v>
      </c>
      <c r="X51" s="1"/>
      <c r="Y51" s="38">
        <f t="shared" si="41"/>
        <v>98</v>
      </c>
      <c r="Z51" s="32">
        <v>10</v>
      </c>
      <c r="AA51" s="1">
        <v>13</v>
      </c>
      <c r="AB51" s="1">
        <v>2</v>
      </c>
      <c r="AC51" s="33">
        <f t="shared" si="30"/>
        <v>123</v>
      </c>
      <c r="AD51" s="32">
        <v>10</v>
      </c>
      <c r="AE51" s="1">
        <v>0</v>
      </c>
      <c r="AF51" s="1">
        <v>3</v>
      </c>
      <c r="AG51" s="38">
        <f t="shared" si="36"/>
        <v>136</v>
      </c>
      <c r="AH51" s="32">
        <v>9</v>
      </c>
      <c r="AI51" s="1"/>
      <c r="AJ51" s="1"/>
      <c r="AK51" s="33">
        <f t="shared" si="16"/>
        <v>145</v>
      </c>
    </row>
    <row r="52" spans="1:37" x14ac:dyDescent="0.25">
      <c r="A52" s="20" t="s">
        <v>49</v>
      </c>
      <c r="B52" s="32">
        <v>9</v>
      </c>
      <c r="C52" s="1"/>
      <c r="D52" s="1"/>
      <c r="E52" s="36">
        <f t="shared" si="2"/>
        <v>9</v>
      </c>
      <c r="F52" s="32">
        <v>10</v>
      </c>
      <c r="G52" s="1">
        <v>7</v>
      </c>
      <c r="H52" s="1"/>
      <c r="I52" s="38">
        <f t="shared" si="37"/>
        <v>26</v>
      </c>
      <c r="J52" s="32">
        <v>10</v>
      </c>
      <c r="K52" s="1">
        <v>8</v>
      </c>
      <c r="L52" s="1"/>
      <c r="M52" s="38">
        <f t="shared" si="38"/>
        <v>44</v>
      </c>
      <c r="N52" s="32">
        <v>9</v>
      </c>
      <c r="O52" s="1">
        <v>6</v>
      </c>
      <c r="P52" s="1"/>
      <c r="Q52" s="38">
        <f t="shared" si="39"/>
        <v>59</v>
      </c>
      <c r="R52" s="32">
        <v>8</v>
      </c>
      <c r="S52" s="1">
        <v>10</v>
      </c>
      <c r="T52" s="1">
        <v>2</v>
      </c>
      <c r="U52" s="38">
        <f t="shared" si="40"/>
        <v>79</v>
      </c>
      <c r="V52" s="32">
        <v>9</v>
      </c>
      <c r="W52" s="1">
        <v>8</v>
      </c>
      <c r="X52" s="1"/>
      <c r="Y52" s="38">
        <f t="shared" si="41"/>
        <v>96</v>
      </c>
      <c r="Z52" s="32">
        <v>6</v>
      </c>
      <c r="AA52" s="1">
        <v>13</v>
      </c>
      <c r="AB52" s="1"/>
      <c r="AC52" s="33">
        <f t="shared" si="30"/>
        <v>115</v>
      </c>
      <c r="AD52" s="32"/>
      <c r="AE52" s="1">
        <v>0</v>
      </c>
      <c r="AF52" s="1"/>
      <c r="AG52" s="38">
        <f t="shared" si="36"/>
        <v>115</v>
      </c>
      <c r="AH52" s="32"/>
      <c r="AI52" s="1"/>
      <c r="AJ52" s="1"/>
      <c r="AK52" s="33">
        <f t="shared" si="16"/>
        <v>115</v>
      </c>
    </row>
    <row r="53" spans="1:37" ht="15.75" thickBot="1" x14ac:dyDescent="0.3">
      <c r="A53" s="21" t="s">
        <v>50</v>
      </c>
      <c r="B53" s="34"/>
      <c r="C53" s="35"/>
      <c r="D53" s="35"/>
      <c r="E53" s="41"/>
      <c r="F53" s="34"/>
      <c r="G53" s="35"/>
      <c r="H53" s="35"/>
      <c r="I53" s="41"/>
      <c r="J53" s="34"/>
      <c r="K53" s="35"/>
      <c r="L53" s="35"/>
      <c r="M53" s="41"/>
      <c r="N53" s="34"/>
      <c r="O53" s="35"/>
      <c r="P53" s="35"/>
      <c r="Q53" s="41"/>
      <c r="R53" s="34"/>
      <c r="S53" s="35"/>
      <c r="T53" s="35"/>
      <c r="U53" s="41"/>
      <c r="V53" s="34"/>
      <c r="W53" s="35"/>
      <c r="X53" s="35"/>
      <c r="Y53" s="41"/>
      <c r="Z53" s="34"/>
      <c r="AA53" s="35">
        <v>13</v>
      </c>
      <c r="AB53" s="35"/>
      <c r="AC53" s="36">
        <f t="shared" si="30"/>
        <v>13</v>
      </c>
      <c r="AD53" s="34">
        <v>7</v>
      </c>
      <c r="AE53" s="35">
        <v>0</v>
      </c>
      <c r="AF53" s="35">
        <v>4</v>
      </c>
      <c r="AG53" s="41"/>
      <c r="AH53" s="34">
        <v>4</v>
      </c>
      <c r="AI53" s="35"/>
      <c r="AJ53" s="35"/>
      <c r="AK53" s="36">
        <f t="shared" si="16"/>
        <v>4</v>
      </c>
    </row>
    <row r="54" spans="1:37" ht="15.75" thickBot="1" x14ac:dyDescent="0.3">
      <c r="A54" s="22" t="s">
        <v>51</v>
      </c>
      <c r="B54" s="23">
        <f>ROUND(AVERAGE(B45:B53),0)</f>
        <v>9</v>
      </c>
      <c r="C54" s="24">
        <v>0</v>
      </c>
      <c r="D54" s="24">
        <f>SUM(D45:D53)</f>
        <v>0</v>
      </c>
      <c r="E54" s="37">
        <f t="shared" si="2"/>
        <v>9</v>
      </c>
      <c r="F54" s="23">
        <f>ROUND(AVERAGE(F45:F53),0)</f>
        <v>9</v>
      </c>
      <c r="G54" s="24">
        <f>ROUND(AVERAGE(G45:G53),0)</f>
        <v>7</v>
      </c>
      <c r="H54" s="24">
        <f>SUM(H45:H53)</f>
        <v>0</v>
      </c>
      <c r="I54" s="25">
        <f t="shared" ref="I54" si="42">SUM(F54:H54)+E54</f>
        <v>25</v>
      </c>
      <c r="J54" s="23">
        <f>ROUND(AVERAGE(J45:J53),0)</f>
        <v>10</v>
      </c>
      <c r="K54" s="24">
        <f>ROUND(AVERAGE(K45:K53),0)</f>
        <v>8</v>
      </c>
      <c r="L54" s="24">
        <f>SUM(L45:L53)</f>
        <v>1</v>
      </c>
      <c r="M54" s="25">
        <f t="shared" ref="M54" si="43">SUM(J54:L54)+I54</f>
        <v>44</v>
      </c>
      <c r="N54" s="23">
        <f>ROUND(AVERAGE(N45:N53),0)</f>
        <v>9</v>
      </c>
      <c r="O54" s="24">
        <f>ROUND(AVERAGE(O45:O53),0)</f>
        <v>6</v>
      </c>
      <c r="P54" s="24">
        <f>SUM(P45:P53)</f>
        <v>1</v>
      </c>
      <c r="Q54" s="25">
        <f t="shared" ref="Q54" si="44">SUM(N54:P54)+M54</f>
        <v>60</v>
      </c>
      <c r="R54" s="23">
        <f>ROUND(AVERAGE(R45:R53),0)</f>
        <v>8</v>
      </c>
      <c r="S54" s="24">
        <f>ROUND(AVERAGE(S45:S53),0)</f>
        <v>10</v>
      </c>
      <c r="T54" s="24">
        <f>SUM(T45:T53)</f>
        <v>5</v>
      </c>
      <c r="U54" s="25">
        <f t="shared" ref="U54" si="45">SUM(R54:T54)+Q54</f>
        <v>83</v>
      </c>
      <c r="V54" s="23">
        <f>ROUND(AVERAGE(V45:V53),0)</f>
        <v>9</v>
      </c>
      <c r="W54" s="24">
        <f>ROUND(AVERAGE(W45:W53),0)</f>
        <v>8</v>
      </c>
      <c r="X54" s="24">
        <f>SUM(X44:X53)</f>
        <v>3</v>
      </c>
      <c r="Y54" s="25">
        <f t="shared" ref="Y54" si="46">SUM(V54:X54)+U54</f>
        <v>103</v>
      </c>
      <c r="Z54" s="23">
        <f>ROUND(AVERAGE(Z45:Z53),0)</f>
        <v>8</v>
      </c>
      <c r="AA54" s="24">
        <f>ROUND(AVERAGE(AA45:AA53),0)</f>
        <v>13</v>
      </c>
      <c r="AB54" s="24">
        <f>SUM(AB45:AB53)</f>
        <v>4</v>
      </c>
      <c r="AC54" s="37">
        <f t="shared" si="30"/>
        <v>128</v>
      </c>
      <c r="AD54" s="23">
        <f>ROUND(AVERAGE(AD45:AD53),0)</f>
        <v>9</v>
      </c>
      <c r="AE54" s="27">
        <f>ROUND(AVERAGE(AE45:AE53),0)</f>
        <v>0</v>
      </c>
      <c r="AF54" s="24">
        <f>SUM(AF44:AF53)</f>
        <v>16</v>
      </c>
      <c r="AG54" s="25">
        <f t="shared" ref="AG54" si="47">SUM(AD54:AF54)+AC54</f>
        <v>153</v>
      </c>
      <c r="AH54" s="23">
        <f>ROUND(AVERAGE(AH45:AH53),0)</f>
        <v>8</v>
      </c>
      <c r="AI54" s="24"/>
      <c r="AJ54" s="24">
        <f>SUM(AJ45:AJ53)</f>
        <v>0</v>
      </c>
      <c r="AK54" s="37">
        <f t="shared" si="16"/>
        <v>161</v>
      </c>
    </row>
  </sheetData>
  <mergeCells count="10">
    <mergeCell ref="A1:A2"/>
    <mergeCell ref="AD1:AG1"/>
    <mergeCell ref="AH1:AK1"/>
    <mergeCell ref="Z1:AC1"/>
    <mergeCell ref="B1:E1"/>
    <mergeCell ref="F1:I1"/>
    <mergeCell ref="J1:M1"/>
    <mergeCell ref="N1:Q1"/>
    <mergeCell ref="R1:U1"/>
    <mergeCell ref="V1:Y1"/>
  </mergeCells>
  <pageMargins left="0.7" right="0.7" top="0.78740157499999996" bottom="0.78740157499999996" header="0.3" footer="0.3"/>
  <pageSetup paperSize="9" orientation="portrait" horizontalDpi="4294967293" verticalDpi="0" r:id="rId1"/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customProperties>
    <customPr name="DVSECTION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V10"/>
  <sheetViews>
    <sheetView workbookViewId="0"/>
  </sheetViews>
  <sheetFormatPr defaultRowHeight="15" x14ac:dyDescent="0.25"/>
  <sheetData>
    <row r="1" spans="1:256" x14ac:dyDescent="0.25">
      <c r="A1">
        <f>IF(List1!2:2,"AAAAAFr73wA=",0)</f>
        <v>0</v>
      </c>
      <c r="B1" t="e">
        <f>AND(List1!A2,"AAAAAFr73wE=")</f>
        <v>#VALUE!</v>
      </c>
      <c r="C1" t="e">
        <f>AND(List1!B2,"AAAAAFr73wI=")</f>
        <v>#VALUE!</v>
      </c>
      <c r="D1" t="e">
        <f>AND(List1!C2,"AAAAAFr73wM=")</f>
        <v>#VALUE!</v>
      </c>
      <c r="E1" t="e">
        <f>AND(List1!D2,"AAAAAFr73wQ=")</f>
        <v>#VALUE!</v>
      </c>
      <c r="F1" t="e">
        <f>AND(List1!E2,"AAAAAFr73wU=")</f>
        <v>#VALUE!</v>
      </c>
      <c r="G1" t="e">
        <f>AND(List1!F2,"AAAAAFr73wY=")</f>
        <v>#VALUE!</v>
      </c>
      <c r="H1" t="e">
        <f>AND(List1!G2,"AAAAAFr73wc=")</f>
        <v>#VALUE!</v>
      </c>
      <c r="I1" t="e">
        <f>AND(List1!H2,"AAAAAFr73wg=")</f>
        <v>#VALUE!</v>
      </c>
      <c r="J1" t="e">
        <f>AND(List1!I2,"AAAAAFr73wk=")</f>
        <v>#VALUE!</v>
      </c>
      <c r="K1" t="e">
        <f>AND(List1!J2,"AAAAAFr73wo=")</f>
        <v>#VALUE!</v>
      </c>
      <c r="L1" t="e">
        <f>AND(List1!K2,"AAAAAFr73ws=")</f>
        <v>#VALUE!</v>
      </c>
      <c r="M1" t="e">
        <f>AND(List1!L2,"AAAAAFr73ww=")</f>
        <v>#VALUE!</v>
      </c>
      <c r="N1" t="e">
        <f>AND(List1!M2,"AAAAAFr73w0=")</f>
        <v>#VALUE!</v>
      </c>
      <c r="O1" t="e">
        <f>AND(List1!N2,"AAAAAFr73w4=")</f>
        <v>#VALUE!</v>
      </c>
      <c r="P1" t="e">
        <f>AND(List1!O2,"AAAAAFr73w8=")</f>
        <v>#VALUE!</v>
      </c>
      <c r="Q1" t="e">
        <f>AND(List1!P2,"AAAAAFr73xA=")</f>
        <v>#VALUE!</v>
      </c>
      <c r="R1" t="e">
        <f>AND(List1!Q2,"AAAAAFr73xE=")</f>
        <v>#VALUE!</v>
      </c>
      <c r="S1" t="e">
        <f>AND(List1!R2,"AAAAAFr73xI=")</f>
        <v>#VALUE!</v>
      </c>
      <c r="T1" t="e">
        <f>AND(List1!S2,"AAAAAFr73xM=")</f>
        <v>#VALUE!</v>
      </c>
      <c r="U1" t="e">
        <f>AND(List1!T2,"AAAAAFr73xQ=")</f>
        <v>#VALUE!</v>
      </c>
      <c r="V1" t="e">
        <f>AND(List1!U2,"AAAAAFr73xU=")</f>
        <v>#VALUE!</v>
      </c>
      <c r="W1" t="e">
        <f>AND(List1!V2,"AAAAAFr73xY=")</f>
        <v>#VALUE!</v>
      </c>
      <c r="X1" t="e">
        <f>AND(List1!W2,"AAAAAFr73xc=")</f>
        <v>#VALUE!</v>
      </c>
      <c r="Y1" t="e">
        <f>AND(List1!X2,"AAAAAFr73xg=")</f>
        <v>#VALUE!</v>
      </c>
      <c r="Z1" t="e">
        <f>AND(List1!Y2,"AAAAAFr73xk=")</f>
        <v>#VALUE!</v>
      </c>
      <c r="AA1" t="e">
        <f>AND(List1!Z2,"AAAAAFr73xo=")</f>
        <v>#VALUE!</v>
      </c>
      <c r="AB1" t="e">
        <f>AND(List1!AA2,"AAAAAFr73xs=")</f>
        <v>#VALUE!</v>
      </c>
      <c r="AC1" t="e">
        <f>AND(List1!AB2,"AAAAAFr73xw=")</f>
        <v>#VALUE!</v>
      </c>
      <c r="AD1" t="e">
        <f>AND(List1!AC2,"AAAAAFr73x0=")</f>
        <v>#VALUE!</v>
      </c>
      <c r="AE1">
        <f>IF(List1!3:3,"AAAAAFr73x4=",0)</f>
        <v>0</v>
      </c>
      <c r="AF1" t="e">
        <f>AND(List1!A3,"AAAAAFr73x8=")</f>
        <v>#VALUE!</v>
      </c>
      <c r="AG1" t="str">
        <f>IF(List1!4:4,"AAAAAFr73yA=",0)</f>
        <v>AAAAAFr73yA=</v>
      </c>
      <c r="AH1" t="e">
        <f>AND(List1!A4,"AAAAAFr73yE=")</f>
        <v>#VALUE!</v>
      </c>
      <c r="AI1">
        <f>IF(List1!5:5,"AAAAAFr73yI=",0)</f>
        <v>0</v>
      </c>
      <c r="AJ1" t="e">
        <f>AND(List1!A5,"AAAAAFr73yM=")</f>
        <v>#VALUE!</v>
      </c>
      <c r="AK1" t="str">
        <f>IF(List1!6:6,"AAAAAFr73yQ=",0)</f>
        <v>AAAAAFr73yQ=</v>
      </c>
      <c r="AL1" t="e">
        <f>AND(List1!A6,"AAAAAFr73yU=")</f>
        <v>#VALUE!</v>
      </c>
      <c r="AM1">
        <f>IF(List1!7:7,"AAAAAFr73yY=",0)</f>
        <v>0</v>
      </c>
      <c r="AN1" t="e">
        <f>AND(List1!A7,"AAAAAFr73yc=")</f>
        <v>#VALUE!</v>
      </c>
      <c r="AO1">
        <f>IF(List1!8:8,"AAAAAFr73yg=",0)</f>
        <v>0</v>
      </c>
      <c r="AP1" t="e">
        <f>AND(List1!A8,"AAAAAFr73yk=")</f>
        <v>#VALUE!</v>
      </c>
      <c r="AQ1">
        <f>IF(List1!9:9,"AAAAAFr73yo=",0)</f>
        <v>0</v>
      </c>
      <c r="AR1" t="e">
        <f>AND(List1!A9,"AAAAAFr73ys=")</f>
        <v>#VALUE!</v>
      </c>
      <c r="AS1">
        <f>IF(List1!10:10,"AAAAAFr73yw=",0)</f>
        <v>0</v>
      </c>
      <c r="AT1" t="e">
        <f>AND(List1!A10,"AAAAAFr73y0=")</f>
        <v>#VALUE!</v>
      </c>
      <c r="AU1">
        <f>IF(List1!11:11,"AAAAAFr73y4=",0)</f>
        <v>0</v>
      </c>
      <c r="AV1" t="e">
        <f>AND(List1!A11,"AAAAAFr73y8=")</f>
        <v>#VALUE!</v>
      </c>
      <c r="AW1">
        <f>IF(List1!12:12,"AAAAAFr73zA=",0)</f>
        <v>0</v>
      </c>
      <c r="AX1" t="e">
        <f>AND(List1!A12,"AAAAAFr73zE=")</f>
        <v>#VALUE!</v>
      </c>
      <c r="AY1">
        <f>IF(List1!13:13,"AAAAAFr73zI=",0)</f>
        <v>0</v>
      </c>
      <c r="AZ1" t="e">
        <f>AND(List1!A13,"AAAAAFr73zM=")</f>
        <v>#VALUE!</v>
      </c>
      <c r="BA1">
        <f>IF(List1!14:14,"AAAAAFr73zQ=",0)</f>
        <v>0</v>
      </c>
      <c r="BB1" t="e">
        <f>AND(List1!A14,"AAAAAFr73zU=")</f>
        <v>#VALUE!</v>
      </c>
      <c r="BC1">
        <f>IF(List1!15:15,"AAAAAFr73zY=",0)</f>
        <v>0</v>
      </c>
      <c r="BD1" t="e">
        <f>AND(List1!A15,"AAAAAFr73zc=")</f>
        <v>#VALUE!</v>
      </c>
      <c r="BE1">
        <f>IF(List1!16:16,"AAAAAFr73zg=",0)</f>
        <v>0</v>
      </c>
      <c r="BF1" t="e">
        <f>AND(List1!A16,"AAAAAFr73zk=")</f>
        <v>#VALUE!</v>
      </c>
      <c r="BG1">
        <f>IF(List1!17:17,"AAAAAFr73zo=",0)</f>
        <v>0</v>
      </c>
      <c r="BH1" t="e">
        <f>AND(List1!A17,"AAAAAFr73zs=")</f>
        <v>#VALUE!</v>
      </c>
      <c r="BI1">
        <f>IF(List1!18:18,"AAAAAFr73zw=",0)</f>
        <v>0</v>
      </c>
      <c r="BJ1" t="e">
        <f>AND(List1!A18,"AAAAAFr73z0=")</f>
        <v>#VALUE!</v>
      </c>
      <c r="BK1">
        <f>IF(List1!19:19,"AAAAAFr73z4=",0)</f>
        <v>0</v>
      </c>
      <c r="BL1" t="e">
        <f>AND(List1!A19,"AAAAAFr73z8=")</f>
        <v>#VALUE!</v>
      </c>
      <c r="BM1">
        <f>IF(List1!20:20,"AAAAAFr730A=",0)</f>
        <v>0</v>
      </c>
      <c r="BN1" t="e">
        <f>AND(List1!A20,"AAAAAFr730E=")</f>
        <v>#VALUE!</v>
      </c>
      <c r="BO1">
        <f>IF(List1!21:21,"AAAAAFr730I=",0)</f>
        <v>0</v>
      </c>
      <c r="BP1" t="e">
        <f>AND(List1!A21,"AAAAAFr730M=")</f>
        <v>#VALUE!</v>
      </c>
      <c r="BQ1">
        <f>IF(List1!22:22,"AAAAAFr730Q=",0)</f>
        <v>0</v>
      </c>
      <c r="BR1" t="e">
        <f>AND(List1!A22,"AAAAAFr730U=")</f>
        <v>#VALUE!</v>
      </c>
      <c r="BS1">
        <f>IF(List1!23:23,"AAAAAFr730Y=",0)</f>
        <v>0</v>
      </c>
      <c r="BT1" t="e">
        <f>AND(List1!A23,"AAAAAFr730c=")</f>
        <v>#VALUE!</v>
      </c>
      <c r="BU1">
        <f>IF(List1!24:24,"AAAAAFr730g=",0)</f>
        <v>0</v>
      </c>
      <c r="BV1" t="e">
        <f>AND(List1!A24,"AAAAAFr730k=")</f>
        <v>#VALUE!</v>
      </c>
      <c r="BW1">
        <f>IF(List1!25:25,"AAAAAFr730o=",0)</f>
        <v>0</v>
      </c>
      <c r="BX1" t="e">
        <f>AND(List1!A25,"AAAAAFr730s=")</f>
        <v>#VALUE!</v>
      </c>
      <c r="BY1">
        <f>IF(List1!26:26,"AAAAAFr730w=",0)</f>
        <v>0</v>
      </c>
      <c r="BZ1" t="e">
        <f>AND(List1!A26,"AAAAAFr7300=")</f>
        <v>#VALUE!</v>
      </c>
      <c r="CA1">
        <f>IF(List1!27:27,"AAAAAFr7304=",0)</f>
        <v>0</v>
      </c>
      <c r="CB1" t="e">
        <f>AND(List1!A27,"AAAAAFr7308=")</f>
        <v>#VALUE!</v>
      </c>
      <c r="CC1">
        <f>IF(List1!28:28,"AAAAAFr731A=",0)</f>
        <v>0</v>
      </c>
      <c r="CD1" t="e">
        <f>AND(List1!A28,"AAAAAFr731E=")</f>
        <v>#VALUE!</v>
      </c>
      <c r="CE1">
        <f>IF(List1!29:29,"AAAAAFr731I=",0)</f>
        <v>0</v>
      </c>
      <c r="CF1" t="e">
        <f>AND(List1!A29,"AAAAAFr731M=")</f>
        <v>#VALUE!</v>
      </c>
      <c r="CG1">
        <f>IF(List1!30:30,"AAAAAFr731Q=",0)</f>
        <v>0</v>
      </c>
      <c r="CH1" t="e">
        <f>AND(List1!A30,"AAAAAFr731U=")</f>
        <v>#VALUE!</v>
      </c>
      <c r="CI1">
        <f>IF(List1!31:31,"AAAAAFr731Y=",0)</f>
        <v>0</v>
      </c>
      <c r="CJ1" t="e">
        <f>AND(List1!A31,"AAAAAFr731c=")</f>
        <v>#VALUE!</v>
      </c>
      <c r="CK1">
        <f>IF(List1!32:32,"AAAAAFr731g=",0)</f>
        <v>0</v>
      </c>
      <c r="CL1" t="e">
        <f>AND(List1!A32,"AAAAAFr731k=")</f>
        <v>#VALUE!</v>
      </c>
      <c r="CM1">
        <f>IF(List1!33:33,"AAAAAFr731o=",0)</f>
        <v>0</v>
      </c>
      <c r="CN1" t="e">
        <f>AND(List1!A33,"AAAAAFr731s=")</f>
        <v>#VALUE!</v>
      </c>
      <c r="CO1">
        <f>IF(List1!34:34,"AAAAAFr731w=",0)</f>
        <v>0</v>
      </c>
      <c r="CP1" t="e">
        <f>AND(List1!A34,"AAAAAFr7310=")</f>
        <v>#VALUE!</v>
      </c>
      <c r="CQ1">
        <f>IF(List1!35:35,"AAAAAFr7314=",0)</f>
        <v>0</v>
      </c>
      <c r="CR1" t="e">
        <f>AND(List1!A35,"AAAAAFr7318=")</f>
        <v>#VALUE!</v>
      </c>
      <c r="CS1">
        <f>IF(List1!36:36,"AAAAAFr732A=",0)</f>
        <v>0</v>
      </c>
      <c r="CT1" t="e">
        <f>AND(List1!A36,"AAAAAFr732E=")</f>
        <v>#VALUE!</v>
      </c>
      <c r="CU1">
        <f>IF(List1!37:37,"AAAAAFr732I=",0)</f>
        <v>0</v>
      </c>
      <c r="CV1" t="e">
        <f>AND(List1!A37,"AAAAAFr732M=")</f>
        <v>#VALUE!</v>
      </c>
      <c r="CW1">
        <f>IF(List1!38:38,"AAAAAFr732Q=",0)</f>
        <v>0</v>
      </c>
      <c r="CX1" t="e">
        <f>AND(List1!A38,"AAAAAFr732U=")</f>
        <v>#VALUE!</v>
      </c>
      <c r="CY1">
        <f>IF(List1!39:39,"AAAAAFr732Y=",0)</f>
        <v>0</v>
      </c>
      <c r="CZ1" t="e">
        <f>AND(List1!A39,"AAAAAFr732c=")</f>
        <v>#VALUE!</v>
      </c>
      <c r="DA1">
        <f>IF(List1!40:40,"AAAAAFr732g=",0)</f>
        <v>0</v>
      </c>
      <c r="DB1" t="e">
        <f>AND(List1!A40,"AAAAAFr732k=")</f>
        <v>#VALUE!</v>
      </c>
      <c r="DC1">
        <f>IF(List1!41:41,"AAAAAFr732o=",0)</f>
        <v>0</v>
      </c>
      <c r="DD1" t="e">
        <f>AND(List1!A41,"AAAAAFr732s=")</f>
        <v>#VALUE!</v>
      </c>
      <c r="DE1">
        <f>IF(List1!42:42,"AAAAAFr732w=",0)</f>
        <v>0</v>
      </c>
      <c r="DF1" t="e">
        <f>AND(List1!A42,"AAAAAFr7320=")</f>
        <v>#VALUE!</v>
      </c>
      <c r="DG1">
        <f>IF(List1!43:43,"AAAAAFr7324=",0)</f>
        <v>0</v>
      </c>
      <c r="DH1" t="e">
        <f>AND(List1!A43,"AAAAAFr7328=")</f>
        <v>#VALUE!</v>
      </c>
      <c r="DI1">
        <f>IF(List1!44:44,"AAAAAFr733A=",0)</f>
        <v>0</v>
      </c>
      <c r="DJ1" t="e">
        <f>AND(List1!A44,"AAAAAFr733E=")</f>
        <v>#VALUE!</v>
      </c>
      <c r="DK1">
        <f>IF(List1!45:45,"AAAAAFr733I=",0)</f>
        <v>0</v>
      </c>
      <c r="DL1" t="e">
        <f>AND(List1!A45,"AAAAAFr733M=")</f>
        <v>#VALUE!</v>
      </c>
      <c r="DM1">
        <f>IF(List1!46:46,"AAAAAFr733Q=",0)</f>
        <v>0</v>
      </c>
      <c r="DN1" t="e">
        <f>AND(List1!A46,"AAAAAFr733U=")</f>
        <v>#VALUE!</v>
      </c>
      <c r="DO1">
        <f>IF(List1!47:47,"AAAAAFr733Y=",0)</f>
        <v>0</v>
      </c>
      <c r="DP1" t="e">
        <f>AND(List1!A47,"AAAAAFr733c=")</f>
        <v>#VALUE!</v>
      </c>
      <c r="DQ1">
        <f>IF(List1!48:48,"AAAAAFr733g=",0)</f>
        <v>0</v>
      </c>
      <c r="DR1" t="e">
        <f>AND(List1!A48,"AAAAAFr733k=")</f>
        <v>#VALUE!</v>
      </c>
      <c r="DS1">
        <f>IF(List1!49:49,"AAAAAFr733o=",0)</f>
        <v>0</v>
      </c>
      <c r="DT1" t="e">
        <f>AND(List1!A49,"AAAAAFr733s=")</f>
        <v>#VALUE!</v>
      </c>
      <c r="DU1">
        <f>IF(List1!50:50,"AAAAAFr733w=",0)</f>
        <v>0</v>
      </c>
      <c r="DV1" t="e">
        <f>AND(List1!A50,"AAAAAFr7330=")</f>
        <v>#VALUE!</v>
      </c>
      <c r="DW1">
        <f>IF(List1!51:51,"AAAAAFr7334=",0)</f>
        <v>0</v>
      </c>
      <c r="DX1" t="e">
        <f>AND(List1!A51,"AAAAAFr7338=")</f>
        <v>#VALUE!</v>
      </c>
      <c r="DY1">
        <f>IF(List1!52:52,"AAAAAFr734A=",0)</f>
        <v>0</v>
      </c>
      <c r="DZ1" t="e">
        <f>AND(List1!A52,"AAAAAFr734E=")</f>
        <v>#VALUE!</v>
      </c>
      <c r="EA1">
        <f>IF(List1!53:53,"AAAAAFr734I=",0)</f>
        <v>0</v>
      </c>
      <c r="EB1" t="e">
        <f>AND(List1!A53,"AAAAAFr734M=")</f>
        <v>#VALUE!</v>
      </c>
      <c r="EC1">
        <f>IF(List1!54:54,"AAAAAFr734Q=",0)</f>
        <v>0</v>
      </c>
      <c r="ED1" t="e">
        <f>AND(List1!A54,"AAAAAFr734U=")</f>
        <v>#VALUE!</v>
      </c>
      <c r="EE1">
        <f>IF(List1!A:A,"AAAAAFr734Y=",0)</f>
        <v>0</v>
      </c>
      <c r="EF1" t="e">
        <f>IF(List1!B:B,"AAAAAFr734c=",0)</f>
        <v>#VALUE!</v>
      </c>
      <c r="EG1">
        <f>IF(List1!C:C,"AAAAAFr734g=",0)</f>
        <v>0</v>
      </c>
      <c r="EH1">
        <f>IF(List1!D:D,"AAAAAFr734k=",0)</f>
        <v>0</v>
      </c>
      <c r="EI1">
        <f>IF(List1!E:E,"AAAAAFr734o=",0)</f>
        <v>0</v>
      </c>
      <c r="EJ1" t="e">
        <f>IF(List1!F:F,"AAAAAFr734s=",0)</f>
        <v>#VALUE!</v>
      </c>
      <c r="EK1">
        <f>IF(List1!G:G,"AAAAAFr734w=",0)</f>
        <v>0</v>
      </c>
      <c r="EL1">
        <f>IF(List1!H:H,"AAAAAFr7340=",0)</f>
        <v>0</v>
      </c>
      <c r="EM1">
        <f>IF(List1!I:I,"AAAAAFr7344=",0)</f>
        <v>0</v>
      </c>
      <c r="EN1" t="e">
        <f>IF(List1!J:J,"AAAAAFr7348=",0)</f>
        <v>#VALUE!</v>
      </c>
      <c r="EO1">
        <f>IF(List1!K:K,"AAAAAFr735A=",0)</f>
        <v>0</v>
      </c>
      <c r="EP1">
        <f>IF(List1!L:L,"AAAAAFr735E=",0)</f>
        <v>0</v>
      </c>
      <c r="EQ1">
        <f>IF(List1!M:M,"AAAAAFr735I=",0)</f>
        <v>0</v>
      </c>
      <c r="ER1" t="e">
        <f>IF(List1!N:N,"AAAAAFr735M=",0)</f>
        <v>#VALUE!</v>
      </c>
      <c r="ES1">
        <f>IF(List1!O:O,"AAAAAFr735Q=",0)</f>
        <v>0</v>
      </c>
      <c r="ET1">
        <f>IF(List1!P:P,"AAAAAFr735U=",0)</f>
        <v>0</v>
      </c>
      <c r="EU1">
        <f>IF(List1!Q:Q,"AAAAAFr735Y=",0)</f>
        <v>0</v>
      </c>
      <c r="EV1" t="e">
        <f>IF(List1!R:R,"AAAAAFr735c=",0)</f>
        <v>#VALUE!</v>
      </c>
      <c r="EW1">
        <f>IF(List1!S:S,"AAAAAFr735g=",0)</f>
        <v>0</v>
      </c>
      <c r="EX1">
        <f>IF(List1!T:T,"AAAAAFr735k=",0)</f>
        <v>0</v>
      </c>
      <c r="EY1">
        <f>IF(List1!U:U,"AAAAAFr735o=",0)</f>
        <v>0</v>
      </c>
      <c r="EZ1" t="e">
        <f>IF(List1!V:V,"AAAAAFr735s=",0)</f>
        <v>#VALUE!</v>
      </c>
      <c r="FA1">
        <f>IF(List1!W:W,"AAAAAFr735w=",0)</f>
        <v>0</v>
      </c>
      <c r="FB1">
        <f>IF(List1!X:X,"AAAAAFr7350=",0)</f>
        <v>0</v>
      </c>
      <c r="FC1">
        <f>IF(List1!Y:Y,"AAAAAFr7354=",0)</f>
        <v>0</v>
      </c>
      <c r="FD1" t="e">
        <f>IF(List1!Z:Z,"AAAAAFr7358=",0)</f>
        <v>#VALUE!</v>
      </c>
      <c r="FE1">
        <f>IF(List1!AA:AA,"AAAAAFr736A=",0)</f>
        <v>0</v>
      </c>
      <c r="FF1">
        <f>IF(List1!AB:AB,"AAAAAFr736E=",0)</f>
        <v>0</v>
      </c>
      <c r="FG1">
        <f>IF(List1!AC:AC,"AAAAAFr736I=",0)</f>
        <v>0</v>
      </c>
      <c r="FH1">
        <f>IF(List2!1:1,"AAAAAFr736M=",0)</f>
        <v>0</v>
      </c>
      <c r="FI1" t="e">
        <f>AND(List2!A1,"AAAAAFr736Q=")</f>
        <v>#VALUE!</v>
      </c>
      <c r="FJ1">
        <f>IF(List2!A:A,"AAAAAFr736U=",0)</f>
        <v>0</v>
      </c>
      <c r="FK1">
        <f>IF(List3!1:1,"AAAAAFr736Y=",0)</f>
        <v>0</v>
      </c>
      <c r="FL1" t="e">
        <f>AND(List3!A1,"AAAAAFr736c=")</f>
        <v>#VALUE!</v>
      </c>
      <c r="FM1">
        <f>IF(List3!A:A,"AAAAAFr736g=",0)</f>
        <v>0</v>
      </c>
    </row>
    <row r="2" spans="1:256" x14ac:dyDescent="0.25">
      <c r="A2">
        <f>IF(List1!1:1,"AAAAAFdv7QA=",0)</f>
        <v>0</v>
      </c>
      <c r="B2" t="e">
        <f>AND(List1!A1,"AAAAAFdv7QE=")</f>
        <v>#VALUE!</v>
      </c>
      <c r="C2" t="e">
        <f>AND(List1!B1,"AAAAAFdv7QI=")</f>
        <v>#VALUE!</v>
      </c>
      <c r="D2" t="e">
        <f>AND(List1!C1,"AAAAAFdv7QM=")</f>
        <v>#VALUE!</v>
      </c>
      <c r="E2" t="e">
        <f>AND(List1!D1,"AAAAAFdv7QQ=")</f>
        <v>#VALUE!</v>
      </c>
      <c r="F2" t="e">
        <f>AND(List1!E1,"AAAAAFdv7QU=")</f>
        <v>#VALUE!</v>
      </c>
      <c r="G2" t="e">
        <f>AND(List1!F1,"AAAAAFdv7QY=")</f>
        <v>#VALUE!</v>
      </c>
      <c r="H2" t="e">
        <f>AND(List1!G1,"AAAAAFdv7Qc=")</f>
        <v>#VALUE!</v>
      </c>
      <c r="I2" t="e">
        <f>AND(List1!H1,"AAAAAFdv7Qg=")</f>
        <v>#VALUE!</v>
      </c>
      <c r="J2" t="e">
        <f>AND(List1!I1,"AAAAAFdv7Qk=")</f>
        <v>#VALUE!</v>
      </c>
      <c r="K2" t="e">
        <f>AND(List1!J1,"AAAAAFdv7Qo=")</f>
        <v>#VALUE!</v>
      </c>
      <c r="L2" t="e">
        <f>AND(List1!K1,"AAAAAFdv7Qs=")</f>
        <v>#VALUE!</v>
      </c>
      <c r="M2" t="e">
        <f>AND(List1!L1,"AAAAAFdv7Qw=")</f>
        <v>#VALUE!</v>
      </c>
      <c r="N2" t="e">
        <f>AND(List1!M1,"AAAAAFdv7Q0=")</f>
        <v>#VALUE!</v>
      </c>
      <c r="O2" t="e">
        <f>AND(List1!N1,"AAAAAFdv7Q4=")</f>
        <v>#VALUE!</v>
      </c>
      <c r="P2" t="e">
        <f>AND(List1!O1,"AAAAAFdv7Q8=")</f>
        <v>#VALUE!</v>
      </c>
      <c r="Q2" t="e">
        <f>AND(List1!P1,"AAAAAFdv7RA=")</f>
        <v>#VALUE!</v>
      </c>
      <c r="R2" t="e">
        <f>AND(List1!Q1,"AAAAAFdv7RE=")</f>
        <v>#VALUE!</v>
      </c>
      <c r="S2" t="e">
        <f>AND(List1!R1,"AAAAAFdv7RI=")</f>
        <v>#VALUE!</v>
      </c>
      <c r="T2" t="e">
        <f>AND(List1!S1,"AAAAAFdv7RM=")</f>
        <v>#VALUE!</v>
      </c>
      <c r="U2" t="e">
        <f>AND(List1!T1,"AAAAAFdv7RQ=")</f>
        <v>#VALUE!</v>
      </c>
      <c r="V2" t="e">
        <f>AND(List1!U1,"AAAAAFdv7RU=")</f>
        <v>#VALUE!</v>
      </c>
      <c r="W2" t="e">
        <f>AND(List1!V1,"AAAAAFdv7RY=")</f>
        <v>#VALUE!</v>
      </c>
      <c r="X2" t="e">
        <f>AND(List1!W1,"AAAAAFdv7Rc=")</f>
        <v>#VALUE!</v>
      </c>
      <c r="Y2" t="e">
        <f>AND(List1!X1,"AAAAAFdv7Rg=")</f>
        <v>#VALUE!</v>
      </c>
      <c r="Z2" t="e">
        <f>AND(List1!Y1,"AAAAAFdv7Rk=")</f>
        <v>#VALUE!</v>
      </c>
      <c r="AA2" t="e">
        <f>AND(List1!Z1,"AAAAAFdv7Ro=")</f>
        <v>#VALUE!</v>
      </c>
      <c r="AB2" t="e">
        <f>AND(List1!AA1,"AAAAAFdv7Rs=")</f>
        <v>#VALUE!</v>
      </c>
      <c r="AC2" t="e">
        <f>AND(List1!AB1,"AAAAAFdv7Rw=")</f>
        <v>#VALUE!</v>
      </c>
      <c r="AD2" t="e">
        <f>AND(List1!AC1,"AAAAAFdv7R0=")</f>
        <v>#VALUE!</v>
      </c>
    </row>
    <row r="3" spans="1:256" x14ac:dyDescent="0.25">
      <c r="A3" t="e">
        <f>AND(List1!B3,"AAAAAHi56QA=")</f>
        <v>#VALUE!</v>
      </c>
      <c r="B3" t="e">
        <f>AND(List1!C3,"AAAAAHi56QE=")</f>
        <v>#VALUE!</v>
      </c>
      <c r="C3" t="e">
        <f>AND(List1!D3,"AAAAAHi56QI=")</f>
        <v>#VALUE!</v>
      </c>
      <c r="D3" t="e">
        <f>AND(List1!E3,"AAAAAHi56QM=")</f>
        <v>#VALUE!</v>
      </c>
      <c r="E3" t="e">
        <f>AND(List1!F3,"AAAAAHi56QQ=")</f>
        <v>#VALUE!</v>
      </c>
      <c r="F3" t="e">
        <f>AND(List1!G3,"AAAAAHi56QU=")</f>
        <v>#VALUE!</v>
      </c>
      <c r="G3" t="e">
        <f>AND(List1!H3,"AAAAAHi56QY=")</f>
        <v>#VALUE!</v>
      </c>
      <c r="H3" t="e">
        <f>AND(List1!I3,"AAAAAHi56Qc=")</f>
        <v>#VALUE!</v>
      </c>
      <c r="I3" t="e">
        <f>AND(List1!J3,"AAAAAHi56Qg=")</f>
        <v>#VALUE!</v>
      </c>
      <c r="J3" t="e">
        <f>AND(List1!K3,"AAAAAHi56Qk=")</f>
        <v>#VALUE!</v>
      </c>
      <c r="K3" t="e">
        <f>AND(List1!L3,"AAAAAHi56Qo=")</f>
        <v>#VALUE!</v>
      </c>
      <c r="L3" t="e">
        <f>AND(List1!M3,"AAAAAHi56Qs=")</f>
        <v>#VALUE!</v>
      </c>
      <c r="M3" t="e">
        <f>AND(List1!N3,"AAAAAHi56Qw=")</f>
        <v>#VALUE!</v>
      </c>
      <c r="N3" t="e">
        <f>AND(List1!O3,"AAAAAHi56Q0=")</f>
        <v>#VALUE!</v>
      </c>
      <c r="O3" t="e">
        <f>AND(List1!P3,"AAAAAHi56Q4=")</f>
        <v>#VALUE!</v>
      </c>
      <c r="P3" t="e">
        <f>AND(List1!Q3,"AAAAAHi56Q8=")</f>
        <v>#VALUE!</v>
      </c>
      <c r="Q3" t="e">
        <f>AND(List1!R3,"AAAAAHi56RA=")</f>
        <v>#VALUE!</v>
      </c>
      <c r="R3" t="e">
        <f>AND(List1!S3,"AAAAAHi56RE=")</f>
        <v>#VALUE!</v>
      </c>
      <c r="S3" t="e">
        <f>AND(List1!T3,"AAAAAHi56RI=")</f>
        <v>#VALUE!</v>
      </c>
      <c r="T3" t="e">
        <f>AND(List1!U3,"AAAAAHi56RM=")</f>
        <v>#VALUE!</v>
      </c>
      <c r="U3" t="e">
        <f>AND(List1!V3,"AAAAAHi56RQ=")</f>
        <v>#VALUE!</v>
      </c>
      <c r="V3" t="e">
        <f>AND(List1!W3,"AAAAAHi56RU=")</f>
        <v>#VALUE!</v>
      </c>
      <c r="W3" t="e">
        <f>AND(List1!X3,"AAAAAHi56RY=")</f>
        <v>#VALUE!</v>
      </c>
      <c r="X3" t="e">
        <f>AND(List1!Y3,"AAAAAHi56Rc=")</f>
        <v>#VALUE!</v>
      </c>
      <c r="Y3" t="e">
        <f>AND(List1!Z3,"AAAAAHi56Rg=")</f>
        <v>#VALUE!</v>
      </c>
      <c r="Z3" t="e">
        <f>AND(List1!AA3,"AAAAAHi56Rk=")</f>
        <v>#VALUE!</v>
      </c>
      <c r="AA3" t="e">
        <f>AND(List1!AB3,"AAAAAHi56Ro=")</f>
        <v>#VALUE!</v>
      </c>
      <c r="AB3" t="e">
        <f>AND(List1!AC3,"AAAAAHi56Rs=")</f>
        <v>#VALUE!</v>
      </c>
      <c r="AC3" t="e">
        <f>AND(List1!B4,"AAAAAHi56Rw=")</f>
        <v>#VALUE!</v>
      </c>
      <c r="AD3" t="e">
        <f>AND(List1!C4,"AAAAAHi56R0=")</f>
        <v>#VALUE!</v>
      </c>
      <c r="AE3" t="e">
        <f>AND(List1!D4,"AAAAAHi56R4=")</f>
        <v>#VALUE!</v>
      </c>
      <c r="AF3" t="e">
        <f>AND(List1!E4,"AAAAAHi56R8=")</f>
        <v>#VALUE!</v>
      </c>
      <c r="AG3" t="e">
        <f>AND(List1!F4,"AAAAAHi56SA=")</f>
        <v>#VALUE!</v>
      </c>
      <c r="AH3" t="e">
        <f>AND(List1!G4,"AAAAAHi56SE=")</f>
        <v>#VALUE!</v>
      </c>
      <c r="AI3" t="e">
        <f>AND(List1!H4,"AAAAAHi56SI=")</f>
        <v>#VALUE!</v>
      </c>
      <c r="AJ3" t="e">
        <f>AND(List1!I4,"AAAAAHi56SM=")</f>
        <v>#VALUE!</v>
      </c>
      <c r="AK3" t="e">
        <f>AND(List1!J4,"AAAAAHi56SQ=")</f>
        <v>#VALUE!</v>
      </c>
      <c r="AL3" t="e">
        <f>AND(List1!K4,"AAAAAHi56SU=")</f>
        <v>#VALUE!</v>
      </c>
      <c r="AM3" t="e">
        <f>AND(List1!L4,"AAAAAHi56SY=")</f>
        <v>#VALUE!</v>
      </c>
      <c r="AN3" t="e">
        <f>AND(List1!M4,"AAAAAHi56Sc=")</f>
        <v>#VALUE!</v>
      </c>
      <c r="AO3" t="e">
        <f>AND(List1!N4,"AAAAAHi56Sg=")</f>
        <v>#VALUE!</v>
      </c>
      <c r="AP3" t="e">
        <f>AND(List1!O4,"AAAAAHi56Sk=")</f>
        <v>#VALUE!</v>
      </c>
      <c r="AQ3" t="e">
        <f>AND(List1!P4,"AAAAAHi56So=")</f>
        <v>#VALUE!</v>
      </c>
      <c r="AR3" t="e">
        <f>AND(List1!Q4,"AAAAAHi56Ss=")</f>
        <v>#VALUE!</v>
      </c>
      <c r="AS3" t="e">
        <f>AND(List1!R4,"AAAAAHi56Sw=")</f>
        <v>#VALUE!</v>
      </c>
      <c r="AT3" t="e">
        <f>AND(List1!S4,"AAAAAHi56S0=")</f>
        <v>#VALUE!</v>
      </c>
      <c r="AU3" t="e">
        <f>AND(List1!T4,"AAAAAHi56S4=")</f>
        <v>#VALUE!</v>
      </c>
      <c r="AV3" t="e">
        <f>AND(List1!U4,"AAAAAHi56S8=")</f>
        <v>#VALUE!</v>
      </c>
      <c r="AW3" t="e">
        <f>AND(List1!V4,"AAAAAHi56TA=")</f>
        <v>#VALUE!</v>
      </c>
      <c r="AX3" t="e">
        <f>AND(List1!W4,"AAAAAHi56TE=")</f>
        <v>#VALUE!</v>
      </c>
      <c r="AY3" t="e">
        <f>AND(List1!X4,"AAAAAHi56TI=")</f>
        <v>#VALUE!</v>
      </c>
      <c r="AZ3" t="e">
        <f>AND(List1!Y4,"AAAAAHi56TM=")</f>
        <v>#VALUE!</v>
      </c>
      <c r="BA3" t="e">
        <f>AND(List1!Z4,"AAAAAHi56TQ=")</f>
        <v>#VALUE!</v>
      </c>
      <c r="BB3" t="e">
        <f>AND(List1!AA4,"AAAAAHi56TU=")</f>
        <v>#VALUE!</v>
      </c>
      <c r="BC3" t="e">
        <f>AND(List1!AB4,"AAAAAHi56TY=")</f>
        <v>#VALUE!</v>
      </c>
      <c r="BD3" t="e">
        <f>AND(List1!AC4,"AAAAAHi56Tc=")</f>
        <v>#VALUE!</v>
      </c>
      <c r="BE3" t="e">
        <f>AND(List1!B5,"AAAAAHi56Tg=")</f>
        <v>#VALUE!</v>
      </c>
      <c r="BF3" t="e">
        <f>AND(List1!C5,"AAAAAHi56Tk=")</f>
        <v>#VALUE!</v>
      </c>
      <c r="BG3" t="e">
        <f>AND(List1!D5,"AAAAAHi56To=")</f>
        <v>#VALUE!</v>
      </c>
      <c r="BH3" t="e">
        <f>AND(List1!E5,"AAAAAHi56Ts=")</f>
        <v>#VALUE!</v>
      </c>
      <c r="BI3" t="e">
        <f>AND(List1!F5,"AAAAAHi56Tw=")</f>
        <v>#VALUE!</v>
      </c>
      <c r="BJ3" t="e">
        <f>AND(List1!G5,"AAAAAHi56T0=")</f>
        <v>#VALUE!</v>
      </c>
      <c r="BK3" t="e">
        <f>AND(List1!H5,"AAAAAHi56T4=")</f>
        <v>#VALUE!</v>
      </c>
      <c r="BL3" t="e">
        <f>AND(List1!I5,"AAAAAHi56T8=")</f>
        <v>#VALUE!</v>
      </c>
      <c r="BM3" t="e">
        <f>AND(List1!J5,"AAAAAHi56UA=")</f>
        <v>#VALUE!</v>
      </c>
      <c r="BN3" t="e">
        <f>AND(List1!K5,"AAAAAHi56UE=")</f>
        <v>#VALUE!</v>
      </c>
      <c r="BO3" t="e">
        <f>AND(List1!L5,"AAAAAHi56UI=")</f>
        <v>#VALUE!</v>
      </c>
      <c r="BP3" t="e">
        <f>AND(List1!M5,"AAAAAHi56UM=")</f>
        <v>#VALUE!</v>
      </c>
      <c r="BQ3" t="e">
        <f>AND(List1!N5,"AAAAAHi56UQ=")</f>
        <v>#VALUE!</v>
      </c>
      <c r="BR3" t="e">
        <f>AND(List1!O5,"AAAAAHi56UU=")</f>
        <v>#VALUE!</v>
      </c>
      <c r="BS3" t="e">
        <f>AND(List1!P5,"AAAAAHi56UY=")</f>
        <v>#VALUE!</v>
      </c>
      <c r="BT3" t="e">
        <f>AND(List1!Q5,"AAAAAHi56Uc=")</f>
        <v>#VALUE!</v>
      </c>
      <c r="BU3" t="e">
        <f>AND(List1!R5,"AAAAAHi56Ug=")</f>
        <v>#VALUE!</v>
      </c>
      <c r="BV3" t="e">
        <f>AND(List1!S5,"AAAAAHi56Uk=")</f>
        <v>#VALUE!</v>
      </c>
      <c r="BW3" t="e">
        <f>AND(List1!T5,"AAAAAHi56Uo=")</f>
        <v>#VALUE!</v>
      </c>
      <c r="BX3" t="e">
        <f>AND(List1!U5,"AAAAAHi56Us=")</f>
        <v>#VALUE!</v>
      </c>
      <c r="BY3" t="e">
        <f>AND(List1!V5,"AAAAAHi56Uw=")</f>
        <v>#VALUE!</v>
      </c>
      <c r="BZ3" t="e">
        <f>AND(List1!W5,"AAAAAHi56U0=")</f>
        <v>#VALUE!</v>
      </c>
      <c r="CA3" t="e">
        <f>AND(List1!X5,"AAAAAHi56U4=")</f>
        <v>#VALUE!</v>
      </c>
      <c r="CB3" t="e">
        <f>AND(List1!Y5,"AAAAAHi56U8=")</f>
        <v>#VALUE!</v>
      </c>
      <c r="CC3" t="e">
        <f>AND(List1!Z5,"AAAAAHi56VA=")</f>
        <v>#VALUE!</v>
      </c>
      <c r="CD3" t="e">
        <f>AND(List1!AA5,"AAAAAHi56VE=")</f>
        <v>#VALUE!</v>
      </c>
      <c r="CE3" t="e">
        <f>AND(List1!AB5,"AAAAAHi56VI=")</f>
        <v>#VALUE!</v>
      </c>
      <c r="CF3" t="e">
        <f>AND(List1!AC5,"AAAAAHi56VM=")</f>
        <v>#VALUE!</v>
      </c>
      <c r="CG3" t="e">
        <f>AND(List1!B6,"AAAAAHi56VQ=")</f>
        <v>#VALUE!</v>
      </c>
      <c r="CH3" t="e">
        <f>AND(List1!C6,"AAAAAHi56VU=")</f>
        <v>#VALUE!</v>
      </c>
      <c r="CI3" t="e">
        <f>AND(List1!D6,"AAAAAHi56VY=")</f>
        <v>#VALUE!</v>
      </c>
      <c r="CJ3" t="e">
        <f>AND(List1!E6,"AAAAAHi56Vc=")</f>
        <v>#VALUE!</v>
      </c>
      <c r="CK3" t="e">
        <f>AND(List1!F6,"AAAAAHi56Vg=")</f>
        <v>#VALUE!</v>
      </c>
      <c r="CL3" t="e">
        <f>AND(List1!G6,"AAAAAHi56Vk=")</f>
        <v>#VALUE!</v>
      </c>
      <c r="CM3" t="e">
        <f>AND(List1!H6,"AAAAAHi56Vo=")</f>
        <v>#VALUE!</v>
      </c>
      <c r="CN3" t="e">
        <f>AND(List1!I6,"AAAAAHi56Vs=")</f>
        <v>#VALUE!</v>
      </c>
      <c r="CO3" t="e">
        <f>AND(List1!J6,"AAAAAHi56Vw=")</f>
        <v>#VALUE!</v>
      </c>
      <c r="CP3" t="e">
        <f>AND(List1!K6,"AAAAAHi56V0=")</f>
        <v>#VALUE!</v>
      </c>
      <c r="CQ3" t="e">
        <f>AND(List1!L6,"AAAAAHi56V4=")</f>
        <v>#VALUE!</v>
      </c>
      <c r="CR3" t="e">
        <f>AND(List1!M6,"AAAAAHi56V8=")</f>
        <v>#VALUE!</v>
      </c>
      <c r="CS3" t="e">
        <f>AND(List1!N6,"AAAAAHi56WA=")</f>
        <v>#VALUE!</v>
      </c>
      <c r="CT3" t="e">
        <f>AND(List1!O6,"AAAAAHi56WE=")</f>
        <v>#VALUE!</v>
      </c>
      <c r="CU3" t="e">
        <f>AND(List1!P6,"AAAAAHi56WI=")</f>
        <v>#VALUE!</v>
      </c>
      <c r="CV3" t="e">
        <f>AND(List1!Q6,"AAAAAHi56WM=")</f>
        <v>#VALUE!</v>
      </c>
      <c r="CW3" t="e">
        <f>AND(List1!R6,"AAAAAHi56WQ=")</f>
        <v>#VALUE!</v>
      </c>
      <c r="CX3" t="e">
        <f>AND(List1!S6,"AAAAAHi56WU=")</f>
        <v>#VALUE!</v>
      </c>
      <c r="CY3" t="e">
        <f>AND(List1!T6,"AAAAAHi56WY=")</f>
        <v>#VALUE!</v>
      </c>
      <c r="CZ3" t="e">
        <f>AND(List1!U6,"AAAAAHi56Wc=")</f>
        <v>#VALUE!</v>
      </c>
      <c r="DA3" t="e">
        <f>AND(List1!V6,"AAAAAHi56Wg=")</f>
        <v>#VALUE!</v>
      </c>
      <c r="DB3" t="e">
        <f>AND(List1!W6,"AAAAAHi56Wk=")</f>
        <v>#VALUE!</v>
      </c>
      <c r="DC3" t="e">
        <f>AND(List1!X6,"AAAAAHi56Wo=")</f>
        <v>#VALUE!</v>
      </c>
      <c r="DD3" t="e">
        <f>AND(List1!Y6,"AAAAAHi56Ws=")</f>
        <v>#VALUE!</v>
      </c>
      <c r="DE3" t="e">
        <f>AND(List1!Z6,"AAAAAHi56Ww=")</f>
        <v>#VALUE!</v>
      </c>
      <c r="DF3" t="e">
        <f>AND(List1!AA6,"AAAAAHi56W0=")</f>
        <v>#VALUE!</v>
      </c>
      <c r="DG3" t="e">
        <f>AND(List1!AB6,"AAAAAHi56W4=")</f>
        <v>#VALUE!</v>
      </c>
      <c r="DH3" t="e">
        <f>AND(List1!AC6,"AAAAAHi56W8=")</f>
        <v>#VALUE!</v>
      </c>
      <c r="DI3" t="e">
        <f>AND(List1!B7,"AAAAAHi56XA=")</f>
        <v>#VALUE!</v>
      </c>
      <c r="DJ3" t="e">
        <f>AND(List1!C7,"AAAAAHi56XE=")</f>
        <v>#VALUE!</v>
      </c>
      <c r="DK3" t="e">
        <f>AND(List1!D7,"AAAAAHi56XI=")</f>
        <v>#VALUE!</v>
      </c>
      <c r="DL3" t="e">
        <f>AND(List1!E7,"AAAAAHi56XM=")</f>
        <v>#VALUE!</v>
      </c>
      <c r="DM3" t="e">
        <f>AND(List1!F7,"AAAAAHi56XQ=")</f>
        <v>#VALUE!</v>
      </c>
      <c r="DN3" t="e">
        <f>AND(List1!G7,"AAAAAHi56XU=")</f>
        <v>#VALUE!</v>
      </c>
      <c r="DO3" t="e">
        <f>AND(List1!H7,"AAAAAHi56XY=")</f>
        <v>#VALUE!</v>
      </c>
      <c r="DP3" t="e">
        <f>AND(List1!I7,"AAAAAHi56Xc=")</f>
        <v>#VALUE!</v>
      </c>
      <c r="DQ3" t="e">
        <f>AND(List1!J7,"AAAAAHi56Xg=")</f>
        <v>#VALUE!</v>
      </c>
      <c r="DR3" t="e">
        <f>AND(List1!K7,"AAAAAHi56Xk=")</f>
        <v>#VALUE!</v>
      </c>
      <c r="DS3" t="e">
        <f>AND(List1!L7,"AAAAAHi56Xo=")</f>
        <v>#VALUE!</v>
      </c>
      <c r="DT3" t="e">
        <f>AND(List1!M7,"AAAAAHi56Xs=")</f>
        <v>#VALUE!</v>
      </c>
      <c r="DU3" t="e">
        <f>AND(List1!N7,"AAAAAHi56Xw=")</f>
        <v>#VALUE!</v>
      </c>
      <c r="DV3" t="e">
        <f>AND(List1!O7,"AAAAAHi56X0=")</f>
        <v>#VALUE!</v>
      </c>
      <c r="DW3" t="e">
        <f>AND(List1!P7,"AAAAAHi56X4=")</f>
        <v>#VALUE!</v>
      </c>
      <c r="DX3" t="e">
        <f>AND(List1!Q7,"AAAAAHi56X8=")</f>
        <v>#VALUE!</v>
      </c>
      <c r="DY3" t="e">
        <f>AND(List1!R7,"AAAAAHi56YA=")</f>
        <v>#VALUE!</v>
      </c>
      <c r="DZ3" t="e">
        <f>AND(List1!S7,"AAAAAHi56YE=")</f>
        <v>#VALUE!</v>
      </c>
      <c r="EA3" t="e">
        <f>AND(List1!T7,"AAAAAHi56YI=")</f>
        <v>#VALUE!</v>
      </c>
      <c r="EB3" t="e">
        <f>AND(List1!U7,"AAAAAHi56YM=")</f>
        <v>#VALUE!</v>
      </c>
      <c r="EC3" t="e">
        <f>AND(List1!V7,"AAAAAHi56YQ=")</f>
        <v>#VALUE!</v>
      </c>
      <c r="ED3" t="e">
        <f>AND(List1!W7,"AAAAAHi56YU=")</f>
        <v>#VALUE!</v>
      </c>
      <c r="EE3" t="e">
        <f>AND(List1!X7,"AAAAAHi56YY=")</f>
        <v>#VALUE!</v>
      </c>
      <c r="EF3" t="e">
        <f>AND(List1!Y7,"AAAAAHi56Yc=")</f>
        <v>#VALUE!</v>
      </c>
      <c r="EG3" t="e">
        <f>AND(List1!Z7,"AAAAAHi56Yg=")</f>
        <v>#VALUE!</v>
      </c>
      <c r="EH3" t="e">
        <f>AND(List1!AA7,"AAAAAHi56Yk=")</f>
        <v>#VALUE!</v>
      </c>
      <c r="EI3" t="e">
        <f>AND(List1!AB7,"AAAAAHi56Yo=")</f>
        <v>#VALUE!</v>
      </c>
      <c r="EJ3" t="e">
        <f>AND(List1!AC7,"AAAAAHi56Ys=")</f>
        <v>#VALUE!</v>
      </c>
      <c r="EK3" t="e">
        <f>AND(List1!B8,"AAAAAHi56Yw=")</f>
        <v>#VALUE!</v>
      </c>
      <c r="EL3" t="e">
        <f>AND(List1!C8,"AAAAAHi56Y0=")</f>
        <v>#VALUE!</v>
      </c>
      <c r="EM3" t="e">
        <f>AND(List1!D8,"AAAAAHi56Y4=")</f>
        <v>#VALUE!</v>
      </c>
      <c r="EN3" t="e">
        <f>AND(List1!E8,"AAAAAHi56Y8=")</f>
        <v>#VALUE!</v>
      </c>
      <c r="EO3" t="e">
        <f>AND(List1!F8,"AAAAAHi56ZA=")</f>
        <v>#VALUE!</v>
      </c>
      <c r="EP3" t="e">
        <f>AND(List1!G8,"AAAAAHi56ZE=")</f>
        <v>#VALUE!</v>
      </c>
      <c r="EQ3" t="e">
        <f>AND(List1!H8,"AAAAAHi56ZI=")</f>
        <v>#VALUE!</v>
      </c>
      <c r="ER3" t="e">
        <f>AND(List1!I8,"AAAAAHi56ZM=")</f>
        <v>#VALUE!</v>
      </c>
      <c r="ES3" t="e">
        <f>AND(List1!J8,"AAAAAHi56ZQ=")</f>
        <v>#VALUE!</v>
      </c>
      <c r="ET3" t="e">
        <f>AND(List1!K8,"AAAAAHi56ZU=")</f>
        <v>#VALUE!</v>
      </c>
      <c r="EU3" t="e">
        <f>AND(List1!L8,"AAAAAHi56ZY=")</f>
        <v>#VALUE!</v>
      </c>
      <c r="EV3" t="e">
        <f>AND(List1!M8,"AAAAAHi56Zc=")</f>
        <v>#VALUE!</v>
      </c>
      <c r="EW3" t="e">
        <f>AND(List1!N8,"AAAAAHi56Zg=")</f>
        <v>#VALUE!</v>
      </c>
      <c r="EX3" t="e">
        <f>AND(List1!O8,"AAAAAHi56Zk=")</f>
        <v>#VALUE!</v>
      </c>
      <c r="EY3" t="e">
        <f>AND(List1!P8,"AAAAAHi56Zo=")</f>
        <v>#VALUE!</v>
      </c>
      <c r="EZ3" t="e">
        <f>AND(List1!Q8,"AAAAAHi56Zs=")</f>
        <v>#VALUE!</v>
      </c>
      <c r="FA3" t="e">
        <f>AND(List1!R8,"AAAAAHi56Zw=")</f>
        <v>#VALUE!</v>
      </c>
      <c r="FB3" t="e">
        <f>AND(List1!S8,"AAAAAHi56Z0=")</f>
        <v>#VALUE!</v>
      </c>
      <c r="FC3" t="e">
        <f>AND(List1!T8,"AAAAAHi56Z4=")</f>
        <v>#VALUE!</v>
      </c>
      <c r="FD3" t="e">
        <f>AND(List1!U8,"AAAAAHi56Z8=")</f>
        <v>#VALUE!</v>
      </c>
      <c r="FE3" t="e">
        <f>AND(List1!V8,"AAAAAHi56aA=")</f>
        <v>#VALUE!</v>
      </c>
      <c r="FF3" t="e">
        <f>AND(List1!W8,"AAAAAHi56aE=")</f>
        <v>#VALUE!</v>
      </c>
      <c r="FG3" t="e">
        <f>AND(List1!X8,"AAAAAHi56aI=")</f>
        <v>#VALUE!</v>
      </c>
      <c r="FH3" t="e">
        <f>AND(List1!Y8,"AAAAAHi56aM=")</f>
        <v>#VALUE!</v>
      </c>
      <c r="FI3" t="e">
        <f>AND(List1!Z8,"AAAAAHi56aQ=")</f>
        <v>#VALUE!</v>
      </c>
      <c r="FJ3" t="e">
        <f>AND(List1!AA8,"AAAAAHi56aU=")</f>
        <v>#VALUE!</v>
      </c>
      <c r="FK3" t="e">
        <f>AND(List1!AB8,"AAAAAHi56aY=")</f>
        <v>#VALUE!</v>
      </c>
      <c r="FL3" t="e">
        <f>AND(List1!AC8,"AAAAAHi56ac=")</f>
        <v>#VALUE!</v>
      </c>
      <c r="FM3" t="e">
        <f>AND(List1!B9,"AAAAAHi56ag=")</f>
        <v>#VALUE!</v>
      </c>
      <c r="FN3" t="e">
        <f>AND(List1!C9,"AAAAAHi56ak=")</f>
        <v>#VALUE!</v>
      </c>
      <c r="FO3" t="e">
        <f>AND(List1!D9,"AAAAAHi56ao=")</f>
        <v>#VALUE!</v>
      </c>
      <c r="FP3" t="e">
        <f>AND(List1!E9,"AAAAAHi56as=")</f>
        <v>#VALUE!</v>
      </c>
      <c r="FQ3" t="e">
        <f>AND(List1!F9,"AAAAAHi56aw=")</f>
        <v>#VALUE!</v>
      </c>
      <c r="FR3" t="e">
        <f>AND(List1!G9,"AAAAAHi56a0=")</f>
        <v>#VALUE!</v>
      </c>
      <c r="FS3" t="e">
        <f>AND(List1!H9,"AAAAAHi56a4=")</f>
        <v>#VALUE!</v>
      </c>
      <c r="FT3" t="e">
        <f>AND(List1!I9,"AAAAAHi56a8=")</f>
        <v>#VALUE!</v>
      </c>
      <c r="FU3" t="e">
        <f>AND(List1!J9,"AAAAAHi56bA=")</f>
        <v>#VALUE!</v>
      </c>
      <c r="FV3" t="e">
        <f>AND(List1!K9,"AAAAAHi56bE=")</f>
        <v>#VALUE!</v>
      </c>
      <c r="FW3" t="e">
        <f>AND(List1!L9,"AAAAAHi56bI=")</f>
        <v>#VALUE!</v>
      </c>
      <c r="FX3" t="e">
        <f>AND(List1!M9,"AAAAAHi56bM=")</f>
        <v>#VALUE!</v>
      </c>
      <c r="FY3" t="e">
        <f>AND(List1!N9,"AAAAAHi56bQ=")</f>
        <v>#VALUE!</v>
      </c>
      <c r="FZ3" t="e">
        <f>AND(List1!O9,"AAAAAHi56bU=")</f>
        <v>#VALUE!</v>
      </c>
      <c r="GA3" t="e">
        <f>AND(List1!P9,"AAAAAHi56bY=")</f>
        <v>#VALUE!</v>
      </c>
      <c r="GB3" t="e">
        <f>AND(List1!Q9,"AAAAAHi56bc=")</f>
        <v>#VALUE!</v>
      </c>
      <c r="GC3" t="e">
        <f>AND(List1!R9,"AAAAAHi56bg=")</f>
        <v>#VALUE!</v>
      </c>
      <c r="GD3" t="e">
        <f>AND(List1!S9,"AAAAAHi56bk=")</f>
        <v>#VALUE!</v>
      </c>
      <c r="GE3" t="e">
        <f>AND(List1!T9,"AAAAAHi56bo=")</f>
        <v>#VALUE!</v>
      </c>
      <c r="GF3" t="e">
        <f>AND(List1!U9,"AAAAAHi56bs=")</f>
        <v>#VALUE!</v>
      </c>
      <c r="GG3" t="e">
        <f>AND(List1!V9,"AAAAAHi56bw=")</f>
        <v>#VALUE!</v>
      </c>
      <c r="GH3" t="e">
        <f>AND(List1!W9,"AAAAAHi56b0=")</f>
        <v>#VALUE!</v>
      </c>
      <c r="GI3" t="e">
        <f>AND(List1!X9,"AAAAAHi56b4=")</f>
        <v>#VALUE!</v>
      </c>
      <c r="GJ3" t="e">
        <f>AND(List1!Y9,"AAAAAHi56b8=")</f>
        <v>#VALUE!</v>
      </c>
      <c r="GK3" t="e">
        <f>AND(List1!Z9,"AAAAAHi56cA=")</f>
        <v>#VALUE!</v>
      </c>
      <c r="GL3" t="e">
        <f>AND(List1!AA9,"AAAAAHi56cE=")</f>
        <v>#VALUE!</v>
      </c>
      <c r="GM3" t="e">
        <f>AND(List1!AB9,"AAAAAHi56cI=")</f>
        <v>#VALUE!</v>
      </c>
      <c r="GN3" t="e">
        <f>AND(List1!AC9,"AAAAAHi56cM=")</f>
        <v>#VALUE!</v>
      </c>
      <c r="GO3" t="e">
        <f>AND(List1!B10,"AAAAAHi56cQ=")</f>
        <v>#VALUE!</v>
      </c>
      <c r="GP3" t="e">
        <f>AND(List1!C10,"AAAAAHi56cU=")</f>
        <v>#VALUE!</v>
      </c>
      <c r="GQ3" t="e">
        <f>AND(List1!D10,"AAAAAHi56cY=")</f>
        <v>#VALUE!</v>
      </c>
      <c r="GR3" t="e">
        <f>AND(List1!E10,"AAAAAHi56cc=")</f>
        <v>#VALUE!</v>
      </c>
      <c r="GS3" t="e">
        <f>AND(List1!F10,"AAAAAHi56cg=")</f>
        <v>#VALUE!</v>
      </c>
      <c r="GT3" t="e">
        <f>AND(List1!G10,"AAAAAHi56ck=")</f>
        <v>#VALUE!</v>
      </c>
      <c r="GU3" t="e">
        <f>AND(List1!H10,"AAAAAHi56co=")</f>
        <v>#VALUE!</v>
      </c>
      <c r="GV3" t="e">
        <f>AND(List1!I10,"AAAAAHi56cs=")</f>
        <v>#VALUE!</v>
      </c>
      <c r="GW3" t="e">
        <f>AND(List1!J10,"AAAAAHi56cw=")</f>
        <v>#VALUE!</v>
      </c>
      <c r="GX3" t="e">
        <f>AND(List1!K10,"AAAAAHi56c0=")</f>
        <v>#VALUE!</v>
      </c>
      <c r="GY3" t="e">
        <f>AND(List1!L10,"AAAAAHi56c4=")</f>
        <v>#VALUE!</v>
      </c>
      <c r="GZ3" t="e">
        <f>AND(List1!M10,"AAAAAHi56c8=")</f>
        <v>#VALUE!</v>
      </c>
      <c r="HA3" t="e">
        <f>AND(List1!N10,"AAAAAHi56dA=")</f>
        <v>#VALUE!</v>
      </c>
      <c r="HB3" t="e">
        <f>AND(List1!O10,"AAAAAHi56dE=")</f>
        <v>#VALUE!</v>
      </c>
      <c r="HC3" t="e">
        <f>AND(List1!P10,"AAAAAHi56dI=")</f>
        <v>#VALUE!</v>
      </c>
      <c r="HD3" t="e">
        <f>AND(List1!Q10,"AAAAAHi56dM=")</f>
        <v>#VALUE!</v>
      </c>
      <c r="HE3" t="e">
        <f>AND(List1!R10,"AAAAAHi56dQ=")</f>
        <v>#VALUE!</v>
      </c>
      <c r="HF3" t="e">
        <f>AND(List1!S10,"AAAAAHi56dU=")</f>
        <v>#VALUE!</v>
      </c>
      <c r="HG3" t="e">
        <f>AND(List1!T10,"AAAAAHi56dY=")</f>
        <v>#VALUE!</v>
      </c>
      <c r="HH3" t="e">
        <f>AND(List1!U10,"AAAAAHi56dc=")</f>
        <v>#VALUE!</v>
      </c>
      <c r="HI3" t="e">
        <f>AND(List1!V10,"AAAAAHi56dg=")</f>
        <v>#VALUE!</v>
      </c>
      <c r="HJ3" t="e">
        <f>AND(List1!W10,"AAAAAHi56dk=")</f>
        <v>#VALUE!</v>
      </c>
      <c r="HK3" t="e">
        <f>AND(List1!X10,"AAAAAHi56do=")</f>
        <v>#VALUE!</v>
      </c>
      <c r="HL3" t="e">
        <f>AND(List1!Y10,"AAAAAHi56ds=")</f>
        <v>#VALUE!</v>
      </c>
      <c r="HM3" t="e">
        <f>AND(List1!Z10,"AAAAAHi56dw=")</f>
        <v>#VALUE!</v>
      </c>
      <c r="HN3" t="e">
        <f>AND(List1!AA10,"AAAAAHi56d0=")</f>
        <v>#VALUE!</v>
      </c>
      <c r="HO3" t="e">
        <f>AND(List1!AB10,"AAAAAHi56d4=")</f>
        <v>#VALUE!</v>
      </c>
      <c r="HP3" t="e">
        <f>AND(List1!AC10,"AAAAAHi56d8=")</f>
        <v>#VALUE!</v>
      </c>
      <c r="HQ3" t="e">
        <f>AND(List1!B11,"AAAAAHi56eA=")</f>
        <v>#VALUE!</v>
      </c>
      <c r="HR3" t="e">
        <f>AND(List1!C11,"AAAAAHi56eE=")</f>
        <v>#VALUE!</v>
      </c>
      <c r="HS3" t="e">
        <f>AND(List1!D11,"AAAAAHi56eI=")</f>
        <v>#VALUE!</v>
      </c>
      <c r="HT3" t="e">
        <f>AND(List1!E11,"AAAAAHi56eM=")</f>
        <v>#VALUE!</v>
      </c>
      <c r="HU3" t="e">
        <f>AND(List1!F11,"AAAAAHi56eQ=")</f>
        <v>#VALUE!</v>
      </c>
      <c r="HV3" t="e">
        <f>AND(List1!G11,"AAAAAHi56eU=")</f>
        <v>#VALUE!</v>
      </c>
      <c r="HW3" t="e">
        <f>AND(List1!H11,"AAAAAHi56eY=")</f>
        <v>#VALUE!</v>
      </c>
      <c r="HX3" t="e">
        <f>AND(List1!I11,"AAAAAHi56ec=")</f>
        <v>#VALUE!</v>
      </c>
      <c r="HY3" t="e">
        <f>AND(List1!J11,"AAAAAHi56eg=")</f>
        <v>#VALUE!</v>
      </c>
      <c r="HZ3" t="e">
        <f>AND(List1!K11,"AAAAAHi56ek=")</f>
        <v>#VALUE!</v>
      </c>
      <c r="IA3" t="e">
        <f>AND(List1!L11,"AAAAAHi56eo=")</f>
        <v>#VALUE!</v>
      </c>
      <c r="IB3" t="e">
        <f>AND(List1!M11,"AAAAAHi56es=")</f>
        <v>#VALUE!</v>
      </c>
      <c r="IC3" t="e">
        <f>AND(List1!N11,"AAAAAHi56ew=")</f>
        <v>#VALUE!</v>
      </c>
      <c r="ID3" t="e">
        <f>AND(List1!O11,"AAAAAHi56e0=")</f>
        <v>#VALUE!</v>
      </c>
      <c r="IE3" t="e">
        <f>AND(List1!P11,"AAAAAHi56e4=")</f>
        <v>#VALUE!</v>
      </c>
      <c r="IF3" t="e">
        <f>AND(List1!Q11,"AAAAAHi56e8=")</f>
        <v>#VALUE!</v>
      </c>
      <c r="IG3" t="e">
        <f>AND(List1!R11,"AAAAAHi56fA=")</f>
        <v>#VALUE!</v>
      </c>
      <c r="IH3" t="e">
        <f>AND(List1!S11,"AAAAAHi56fE=")</f>
        <v>#VALUE!</v>
      </c>
      <c r="II3" t="e">
        <f>AND(List1!T11,"AAAAAHi56fI=")</f>
        <v>#VALUE!</v>
      </c>
      <c r="IJ3" t="e">
        <f>AND(List1!U11,"AAAAAHi56fM=")</f>
        <v>#VALUE!</v>
      </c>
      <c r="IK3" t="e">
        <f>AND(List1!V11,"AAAAAHi56fQ=")</f>
        <v>#VALUE!</v>
      </c>
      <c r="IL3" t="e">
        <f>AND(List1!W11,"AAAAAHi56fU=")</f>
        <v>#VALUE!</v>
      </c>
      <c r="IM3" t="e">
        <f>AND(List1!X11,"AAAAAHi56fY=")</f>
        <v>#VALUE!</v>
      </c>
      <c r="IN3" t="e">
        <f>AND(List1!Y11,"AAAAAHi56fc=")</f>
        <v>#VALUE!</v>
      </c>
      <c r="IO3" t="e">
        <f>AND(List1!Z11,"AAAAAHi56fg=")</f>
        <v>#VALUE!</v>
      </c>
      <c r="IP3" t="e">
        <f>AND(List1!AA11,"AAAAAHi56fk=")</f>
        <v>#VALUE!</v>
      </c>
      <c r="IQ3" t="e">
        <f>AND(List1!AB11,"AAAAAHi56fo=")</f>
        <v>#VALUE!</v>
      </c>
      <c r="IR3" t="e">
        <f>AND(List1!AC11,"AAAAAHi56fs=")</f>
        <v>#VALUE!</v>
      </c>
      <c r="IS3" t="e">
        <f>AND(List1!B12,"AAAAAHi56fw=")</f>
        <v>#VALUE!</v>
      </c>
      <c r="IT3" t="e">
        <f>AND(List1!C12,"AAAAAHi56f0=")</f>
        <v>#VALUE!</v>
      </c>
      <c r="IU3" t="e">
        <f>AND(List1!D12,"AAAAAHi56f4=")</f>
        <v>#VALUE!</v>
      </c>
      <c r="IV3" t="e">
        <f>AND(List1!E12,"AAAAAHi56f8=")</f>
        <v>#VALUE!</v>
      </c>
    </row>
    <row r="4" spans="1:256" x14ac:dyDescent="0.25">
      <c r="A4" t="e">
        <f>AND(List1!F12,"AAAAAFnv7QA=")</f>
        <v>#VALUE!</v>
      </c>
      <c r="B4" t="e">
        <f>AND(List1!G12,"AAAAAFnv7QE=")</f>
        <v>#VALUE!</v>
      </c>
      <c r="C4" t="e">
        <f>AND(List1!H12,"AAAAAFnv7QI=")</f>
        <v>#VALUE!</v>
      </c>
      <c r="D4" t="e">
        <f>AND(List1!I12,"AAAAAFnv7QM=")</f>
        <v>#VALUE!</v>
      </c>
      <c r="E4" t="e">
        <f>AND(List1!J12,"AAAAAFnv7QQ=")</f>
        <v>#VALUE!</v>
      </c>
      <c r="F4" t="e">
        <f>AND(List1!K12,"AAAAAFnv7QU=")</f>
        <v>#VALUE!</v>
      </c>
      <c r="G4" t="e">
        <f>AND(List1!L12,"AAAAAFnv7QY=")</f>
        <v>#VALUE!</v>
      </c>
      <c r="H4" t="e">
        <f>AND(List1!M12,"AAAAAFnv7Qc=")</f>
        <v>#VALUE!</v>
      </c>
      <c r="I4" t="e">
        <f>AND(List1!N12,"AAAAAFnv7Qg=")</f>
        <v>#VALUE!</v>
      </c>
      <c r="J4" t="e">
        <f>AND(List1!O12,"AAAAAFnv7Qk=")</f>
        <v>#VALUE!</v>
      </c>
      <c r="K4" t="e">
        <f>AND(List1!P12,"AAAAAFnv7Qo=")</f>
        <v>#VALUE!</v>
      </c>
      <c r="L4" t="e">
        <f>AND(List1!Q12,"AAAAAFnv7Qs=")</f>
        <v>#VALUE!</v>
      </c>
      <c r="M4" t="e">
        <f>AND(List1!R12,"AAAAAFnv7Qw=")</f>
        <v>#VALUE!</v>
      </c>
      <c r="N4" t="e">
        <f>AND(List1!S12,"AAAAAFnv7Q0=")</f>
        <v>#VALUE!</v>
      </c>
      <c r="O4" t="e">
        <f>AND(List1!T12,"AAAAAFnv7Q4=")</f>
        <v>#VALUE!</v>
      </c>
      <c r="P4" t="e">
        <f>AND(List1!U12,"AAAAAFnv7Q8=")</f>
        <v>#VALUE!</v>
      </c>
      <c r="Q4" t="e">
        <f>AND(List1!V12,"AAAAAFnv7RA=")</f>
        <v>#VALUE!</v>
      </c>
      <c r="R4" t="e">
        <f>AND(List1!W12,"AAAAAFnv7RE=")</f>
        <v>#VALUE!</v>
      </c>
      <c r="S4" t="e">
        <f>AND(List1!X12,"AAAAAFnv7RI=")</f>
        <v>#VALUE!</v>
      </c>
      <c r="T4" t="e">
        <f>AND(List1!Y12,"AAAAAFnv7RM=")</f>
        <v>#VALUE!</v>
      </c>
      <c r="U4" t="e">
        <f>AND(List1!Z12,"AAAAAFnv7RQ=")</f>
        <v>#VALUE!</v>
      </c>
      <c r="V4" t="e">
        <f>AND(List1!AA12,"AAAAAFnv7RU=")</f>
        <v>#VALUE!</v>
      </c>
      <c r="W4" t="e">
        <f>AND(List1!AB12,"AAAAAFnv7RY=")</f>
        <v>#VALUE!</v>
      </c>
      <c r="X4" t="e">
        <f>AND(List1!AC12,"AAAAAFnv7Rc=")</f>
        <v>#VALUE!</v>
      </c>
      <c r="Y4" t="e">
        <f>AND(List1!B13,"AAAAAFnv7Rg=")</f>
        <v>#VALUE!</v>
      </c>
      <c r="Z4" t="e">
        <f>AND(List1!C13,"AAAAAFnv7Rk=")</f>
        <v>#VALUE!</v>
      </c>
      <c r="AA4" t="e">
        <f>AND(List1!D13,"AAAAAFnv7Ro=")</f>
        <v>#VALUE!</v>
      </c>
      <c r="AB4" t="e">
        <f>AND(List1!E13,"AAAAAFnv7Rs=")</f>
        <v>#VALUE!</v>
      </c>
      <c r="AC4" t="e">
        <f>AND(List1!F13,"AAAAAFnv7Rw=")</f>
        <v>#VALUE!</v>
      </c>
      <c r="AD4" t="e">
        <f>AND(List1!G13,"AAAAAFnv7R0=")</f>
        <v>#VALUE!</v>
      </c>
      <c r="AE4" t="e">
        <f>AND(List1!H13,"AAAAAFnv7R4=")</f>
        <v>#VALUE!</v>
      </c>
      <c r="AF4" t="e">
        <f>AND(List1!I13,"AAAAAFnv7R8=")</f>
        <v>#VALUE!</v>
      </c>
      <c r="AG4" t="e">
        <f>AND(List1!J13,"AAAAAFnv7SA=")</f>
        <v>#VALUE!</v>
      </c>
      <c r="AH4" t="e">
        <f>AND(List1!K13,"AAAAAFnv7SE=")</f>
        <v>#VALUE!</v>
      </c>
      <c r="AI4" t="e">
        <f>AND(List1!L13,"AAAAAFnv7SI=")</f>
        <v>#VALUE!</v>
      </c>
      <c r="AJ4" t="e">
        <f>AND(List1!M13,"AAAAAFnv7SM=")</f>
        <v>#VALUE!</v>
      </c>
      <c r="AK4" t="e">
        <f>AND(List1!N13,"AAAAAFnv7SQ=")</f>
        <v>#VALUE!</v>
      </c>
      <c r="AL4" t="e">
        <f>AND(List1!O13,"AAAAAFnv7SU=")</f>
        <v>#VALUE!</v>
      </c>
      <c r="AM4" t="e">
        <f>AND(List1!P13,"AAAAAFnv7SY=")</f>
        <v>#VALUE!</v>
      </c>
      <c r="AN4" t="e">
        <f>AND(List1!Q13,"AAAAAFnv7Sc=")</f>
        <v>#VALUE!</v>
      </c>
      <c r="AO4" t="e">
        <f>AND(List1!R13,"AAAAAFnv7Sg=")</f>
        <v>#VALUE!</v>
      </c>
      <c r="AP4" t="e">
        <f>AND(List1!S13,"AAAAAFnv7Sk=")</f>
        <v>#VALUE!</v>
      </c>
      <c r="AQ4" t="e">
        <f>AND(List1!T13,"AAAAAFnv7So=")</f>
        <v>#VALUE!</v>
      </c>
      <c r="AR4" t="e">
        <f>AND(List1!U13,"AAAAAFnv7Ss=")</f>
        <v>#VALUE!</v>
      </c>
      <c r="AS4" t="e">
        <f>AND(List1!V13,"AAAAAFnv7Sw=")</f>
        <v>#VALUE!</v>
      </c>
      <c r="AT4" t="e">
        <f>AND(List1!W13,"AAAAAFnv7S0=")</f>
        <v>#VALUE!</v>
      </c>
      <c r="AU4" t="e">
        <f>AND(List1!X13,"AAAAAFnv7S4=")</f>
        <v>#VALUE!</v>
      </c>
      <c r="AV4" t="e">
        <f>AND(List1!Y13,"AAAAAFnv7S8=")</f>
        <v>#VALUE!</v>
      </c>
      <c r="AW4" t="e">
        <f>AND(List1!Z13,"AAAAAFnv7TA=")</f>
        <v>#VALUE!</v>
      </c>
      <c r="AX4" t="e">
        <f>AND(List1!AA13,"AAAAAFnv7TE=")</f>
        <v>#VALUE!</v>
      </c>
      <c r="AY4" t="e">
        <f>AND(List1!AB13,"AAAAAFnv7TI=")</f>
        <v>#VALUE!</v>
      </c>
      <c r="AZ4" t="e">
        <f>AND(List1!AC13,"AAAAAFnv7TM=")</f>
        <v>#VALUE!</v>
      </c>
      <c r="BA4" t="e">
        <f>AND(List1!B14,"AAAAAFnv7TQ=")</f>
        <v>#VALUE!</v>
      </c>
      <c r="BB4" t="e">
        <f>AND(List1!C14,"AAAAAFnv7TU=")</f>
        <v>#VALUE!</v>
      </c>
      <c r="BC4" t="e">
        <f>AND(List1!D14,"AAAAAFnv7TY=")</f>
        <v>#VALUE!</v>
      </c>
      <c r="BD4" t="e">
        <f>AND(List1!E14,"AAAAAFnv7Tc=")</f>
        <v>#VALUE!</v>
      </c>
      <c r="BE4" t="e">
        <f>AND(List1!F14,"AAAAAFnv7Tg=")</f>
        <v>#VALUE!</v>
      </c>
      <c r="BF4" t="e">
        <f>AND(List1!G14,"AAAAAFnv7Tk=")</f>
        <v>#VALUE!</v>
      </c>
      <c r="BG4" t="e">
        <f>AND(List1!H14,"AAAAAFnv7To=")</f>
        <v>#VALUE!</v>
      </c>
      <c r="BH4" t="e">
        <f>AND(List1!I14,"AAAAAFnv7Ts=")</f>
        <v>#VALUE!</v>
      </c>
      <c r="BI4" t="e">
        <f>AND(List1!J14,"AAAAAFnv7Tw=")</f>
        <v>#VALUE!</v>
      </c>
      <c r="BJ4" t="e">
        <f>AND(List1!K14,"AAAAAFnv7T0=")</f>
        <v>#VALUE!</v>
      </c>
      <c r="BK4" t="e">
        <f>AND(List1!L14,"AAAAAFnv7T4=")</f>
        <v>#VALUE!</v>
      </c>
      <c r="BL4" t="e">
        <f>AND(List1!M14,"AAAAAFnv7T8=")</f>
        <v>#VALUE!</v>
      </c>
      <c r="BM4" t="e">
        <f>AND(List1!N14,"AAAAAFnv7UA=")</f>
        <v>#VALUE!</v>
      </c>
      <c r="BN4" t="e">
        <f>AND(List1!O14,"AAAAAFnv7UE=")</f>
        <v>#VALUE!</v>
      </c>
      <c r="BO4" t="e">
        <f>AND(List1!P14,"AAAAAFnv7UI=")</f>
        <v>#VALUE!</v>
      </c>
      <c r="BP4" t="e">
        <f>AND(List1!Q14,"AAAAAFnv7UM=")</f>
        <v>#VALUE!</v>
      </c>
      <c r="BQ4" t="e">
        <f>AND(List1!R14,"AAAAAFnv7UQ=")</f>
        <v>#VALUE!</v>
      </c>
      <c r="BR4" t="e">
        <f>AND(List1!S14,"AAAAAFnv7UU=")</f>
        <v>#VALUE!</v>
      </c>
      <c r="BS4" t="e">
        <f>AND(List1!T14,"AAAAAFnv7UY=")</f>
        <v>#VALUE!</v>
      </c>
      <c r="BT4" t="e">
        <f>AND(List1!U14,"AAAAAFnv7Uc=")</f>
        <v>#VALUE!</v>
      </c>
      <c r="BU4" t="e">
        <f>AND(List1!V14,"AAAAAFnv7Ug=")</f>
        <v>#VALUE!</v>
      </c>
      <c r="BV4" t="e">
        <f>AND(List1!W14,"AAAAAFnv7Uk=")</f>
        <v>#VALUE!</v>
      </c>
      <c r="BW4" t="e">
        <f>AND(List1!X14,"AAAAAFnv7Uo=")</f>
        <v>#VALUE!</v>
      </c>
      <c r="BX4" t="e">
        <f>AND(List1!Y14,"AAAAAFnv7Us=")</f>
        <v>#VALUE!</v>
      </c>
      <c r="BY4" t="e">
        <f>AND(List1!Z14,"AAAAAFnv7Uw=")</f>
        <v>#VALUE!</v>
      </c>
      <c r="BZ4" t="e">
        <f>AND(List1!AA14,"AAAAAFnv7U0=")</f>
        <v>#VALUE!</v>
      </c>
      <c r="CA4" t="e">
        <f>AND(List1!AB14,"AAAAAFnv7U4=")</f>
        <v>#VALUE!</v>
      </c>
      <c r="CB4" t="e">
        <f>AND(List1!AC14,"AAAAAFnv7U8=")</f>
        <v>#VALUE!</v>
      </c>
      <c r="CC4" t="e">
        <f>AND(List1!B15,"AAAAAFnv7VA=")</f>
        <v>#VALUE!</v>
      </c>
      <c r="CD4" t="e">
        <f>AND(List1!C15,"AAAAAFnv7VE=")</f>
        <v>#VALUE!</v>
      </c>
      <c r="CE4" t="e">
        <f>AND(List1!D15,"AAAAAFnv7VI=")</f>
        <v>#VALUE!</v>
      </c>
      <c r="CF4" t="e">
        <f>AND(List1!E15,"AAAAAFnv7VM=")</f>
        <v>#VALUE!</v>
      </c>
      <c r="CG4" t="e">
        <f>AND(List1!F15,"AAAAAFnv7VQ=")</f>
        <v>#VALUE!</v>
      </c>
      <c r="CH4" t="e">
        <f>AND(List1!G15,"AAAAAFnv7VU=")</f>
        <v>#VALUE!</v>
      </c>
      <c r="CI4" t="e">
        <f>AND(List1!H15,"AAAAAFnv7VY=")</f>
        <v>#VALUE!</v>
      </c>
      <c r="CJ4" t="e">
        <f>AND(List1!I15,"AAAAAFnv7Vc=")</f>
        <v>#VALUE!</v>
      </c>
      <c r="CK4" t="e">
        <f>AND(List1!J15,"AAAAAFnv7Vg=")</f>
        <v>#VALUE!</v>
      </c>
      <c r="CL4" t="e">
        <f>AND(List1!K15,"AAAAAFnv7Vk=")</f>
        <v>#VALUE!</v>
      </c>
      <c r="CM4" t="e">
        <f>AND(List1!L15,"AAAAAFnv7Vo=")</f>
        <v>#VALUE!</v>
      </c>
      <c r="CN4" t="e">
        <f>AND(List1!M15,"AAAAAFnv7Vs=")</f>
        <v>#VALUE!</v>
      </c>
      <c r="CO4" t="e">
        <f>AND(List1!N15,"AAAAAFnv7Vw=")</f>
        <v>#VALUE!</v>
      </c>
      <c r="CP4" t="e">
        <f>AND(List1!O15,"AAAAAFnv7V0=")</f>
        <v>#VALUE!</v>
      </c>
      <c r="CQ4" t="e">
        <f>AND(List1!P15,"AAAAAFnv7V4=")</f>
        <v>#VALUE!</v>
      </c>
      <c r="CR4" t="e">
        <f>AND(List1!Q15,"AAAAAFnv7V8=")</f>
        <v>#VALUE!</v>
      </c>
      <c r="CS4" t="e">
        <f>AND(List1!R15,"AAAAAFnv7WA=")</f>
        <v>#VALUE!</v>
      </c>
      <c r="CT4" t="e">
        <f>AND(List1!S15,"AAAAAFnv7WE=")</f>
        <v>#VALUE!</v>
      </c>
      <c r="CU4" t="e">
        <f>AND(List1!T15,"AAAAAFnv7WI=")</f>
        <v>#VALUE!</v>
      </c>
      <c r="CV4" t="e">
        <f>AND(List1!U15,"AAAAAFnv7WM=")</f>
        <v>#VALUE!</v>
      </c>
      <c r="CW4" t="e">
        <f>AND(List1!V15,"AAAAAFnv7WQ=")</f>
        <v>#VALUE!</v>
      </c>
      <c r="CX4" t="e">
        <f>AND(List1!W15,"AAAAAFnv7WU=")</f>
        <v>#VALUE!</v>
      </c>
      <c r="CY4" t="e">
        <f>AND(List1!X15,"AAAAAFnv7WY=")</f>
        <v>#VALUE!</v>
      </c>
      <c r="CZ4" t="e">
        <f>AND(List1!Y15,"AAAAAFnv7Wc=")</f>
        <v>#VALUE!</v>
      </c>
      <c r="DA4" t="e">
        <f>AND(List1!Z15,"AAAAAFnv7Wg=")</f>
        <v>#VALUE!</v>
      </c>
      <c r="DB4" t="e">
        <f>AND(List1!AA15,"AAAAAFnv7Wk=")</f>
        <v>#VALUE!</v>
      </c>
      <c r="DC4" t="e">
        <f>AND(List1!AB15,"AAAAAFnv7Wo=")</f>
        <v>#VALUE!</v>
      </c>
      <c r="DD4" t="e">
        <f>AND(List1!AC15,"AAAAAFnv7Ws=")</f>
        <v>#VALUE!</v>
      </c>
      <c r="DE4" t="e">
        <f>AND(List1!B16,"AAAAAFnv7Ww=")</f>
        <v>#VALUE!</v>
      </c>
      <c r="DF4" t="e">
        <f>AND(List1!C16,"AAAAAFnv7W0=")</f>
        <v>#VALUE!</v>
      </c>
      <c r="DG4" t="e">
        <f>AND(List1!D16,"AAAAAFnv7W4=")</f>
        <v>#VALUE!</v>
      </c>
      <c r="DH4" t="e">
        <f>AND(List1!E16,"AAAAAFnv7W8=")</f>
        <v>#VALUE!</v>
      </c>
      <c r="DI4" t="e">
        <f>AND(List1!F16,"AAAAAFnv7XA=")</f>
        <v>#VALUE!</v>
      </c>
      <c r="DJ4" t="e">
        <f>AND(List1!G16,"AAAAAFnv7XE=")</f>
        <v>#VALUE!</v>
      </c>
      <c r="DK4" t="e">
        <f>AND(List1!H16,"AAAAAFnv7XI=")</f>
        <v>#VALUE!</v>
      </c>
      <c r="DL4" t="e">
        <f>AND(List1!I16,"AAAAAFnv7XM=")</f>
        <v>#VALUE!</v>
      </c>
      <c r="DM4" t="e">
        <f>AND(List1!J16,"AAAAAFnv7XQ=")</f>
        <v>#VALUE!</v>
      </c>
      <c r="DN4" t="e">
        <f>AND(List1!K16,"AAAAAFnv7XU=")</f>
        <v>#VALUE!</v>
      </c>
      <c r="DO4" t="e">
        <f>AND(List1!L16,"AAAAAFnv7XY=")</f>
        <v>#VALUE!</v>
      </c>
      <c r="DP4" t="e">
        <f>AND(List1!M16,"AAAAAFnv7Xc=")</f>
        <v>#VALUE!</v>
      </c>
      <c r="DQ4" t="e">
        <f>AND(List1!N16,"AAAAAFnv7Xg=")</f>
        <v>#VALUE!</v>
      </c>
      <c r="DR4" t="e">
        <f>AND(List1!O16,"AAAAAFnv7Xk=")</f>
        <v>#VALUE!</v>
      </c>
      <c r="DS4" t="e">
        <f>AND(List1!P16,"AAAAAFnv7Xo=")</f>
        <v>#VALUE!</v>
      </c>
      <c r="DT4" t="e">
        <f>AND(List1!Q16,"AAAAAFnv7Xs=")</f>
        <v>#VALUE!</v>
      </c>
      <c r="DU4" t="e">
        <f>AND(List1!R16,"AAAAAFnv7Xw=")</f>
        <v>#VALUE!</v>
      </c>
      <c r="DV4" t="e">
        <f>AND(List1!S16,"AAAAAFnv7X0=")</f>
        <v>#VALUE!</v>
      </c>
      <c r="DW4" t="e">
        <f>AND(List1!T16,"AAAAAFnv7X4=")</f>
        <v>#VALUE!</v>
      </c>
      <c r="DX4" t="e">
        <f>AND(List1!U16,"AAAAAFnv7X8=")</f>
        <v>#VALUE!</v>
      </c>
      <c r="DY4" t="e">
        <f>AND(List1!V16,"AAAAAFnv7YA=")</f>
        <v>#VALUE!</v>
      </c>
      <c r="DZ4" t="e">
        <f>AND(List1!W16,"AAAAAFnv7YE=")</f>
        <v>#VALUE!</v>
      </c>
      <c r="EA4" t="e">
        <f>AND(List1!X16,"AAAAAFnv7YI=")</f>
        <v>#VALUE!</v>
      </c>
      <c r="EB4" t="e">
        <f>AND(List1!Y16,"AAAAAFnv7YM=")</f>
        <v>#VALUE!</v>
      </c>
      <c r="EC4" t="e">
        <f>AND(List1!Z16,"AAAAAFnv7YQ=")</f>
        <v>#VALUE!</v>
      </c>
      <c r="ED4" t="e">
        <f>AND(List1!AA16,"AAAAAFnv7YU=")</f>
        <v>#VALUE!</v>
      </c>
      <c r="EE4" t="e">
        <f>AND(List1!AB16,"AAAAAFnv7YY=")</f>
        <v>#VALUE!</v>
      </c>
      <c r="EF4" t="e">
        <f>AND(List1!AC16,"AAAAAFnv7Yc=")</f>
        <v>#VALUE!</v>
      </c>
      <c r="EG4" t="e">
        <f>AND(List1!B17,"AAAAAFnv7Yg=")</f>
        <v>#VALUE!</v>
      </c>
      <c r="EH4" t="e">
        <f>AND(List1!C17,"AAAAAFnv7Yk=")</f>
        <v>#VALUE!</v>
      </c>
      <c r="EI4" t="e">
        <f>AND(List1!D17,"AAAAAFnv7Yo=")</f>
        <v>#VALUE!</v>
      </c>
      <c r="EJ4" t="e">
        <f>AND(List1!E17,"AAAAAFnv7Ys=")</f>
        <v>#VALUE!</v>
      </c>
      <c r="EK4" t="e">
        <f>AND(List1!F17,"AAAAAFnv7Yw=")</f>
        <v>#VALUE!</v>
      </c>
      <c r="EL4" t="e">
        <f>AND(List1!G17,"AAAAAFnv7Y0=")</f>
        <v>#VALUE!</v>
      </c>
      <c r="EM4" t="e">
        <f>AND(List1!H17,"AAAAAFnv7Y4=")</f>
        <v>#VALUE!</v>
      </c>
      <c r="EN4" t="e">
        <f>AND(List1!I17,"AAAAAFnv7Y8=")</f>
        <v>#VALUE!</v>
      </c>
      <c r="EO4" t="e">
        <f>AND(List1!J17,"AAAAAFnv7ZA=")</f>
        <v>#VALUE!</v>
      </c>
      <c r="EP4" t="e">
        <f>AND(List1!K17,"AAAAAFnv7ZE=")</f>
        <v>#VALUE!</v>
      </c>
      <c r="EQ4" t="e">
        <f>AND(List1!L17,"AAAAAFnv7ZI=")</f>
        <v>#VALUE!</v>
      </c>
      <c r="ER4" t="e">
        <f>AND(List1!M17,"AAAAAFnv7ZM=")</f>
        <v>#VALUE!</v>
      </c>
      <c r="ES4" t="e">
        <f>AND(List1!N17,"AAAAAFnv7ZQ=")</f>
        <v>#VALUE!</v>
      </c>
      <c r="ET4" t="e">
        <f>AND(List1!O17,"AAAAAFnv7ZU=")</f>
        <v>#VALUE!</v>
      </c>
      <c r="EU4" t="e">
        <f>AND(List1!P17,"AAAAAFnv7ZY=")</f>
        <v>#VALUE!</v>
      </c>
      <c r="EV4" t="e">
        <f>AND(List1!Q17,"AAAAAFnv7Zc=")</f>
        <v>#VALUE!</v>
      </c>
      <c r="EW4" t="e">
        <f>AND(List1!R17,"AAAAAFnv7Zg=")</f>
        <v>#VALUE!</v>
      </c>
      <c r="EX4" t="e">
        <f>AND(List1!S17,"AAAAAFnv7Zk=")</f>
        <v>#VALUE!</v>
      </c>
      <c r="EY4" t="e">
        <f>AND(List1!T17,"AAAAAFnv7Zo=")</f>
        <v>#VALUE!</v>
      </c>
      <c r="EZ4" t="e">
        <f>AND(List1!U17,"AAAAAFnv7Zs=")</f>
        <v>#VALUE!</v>
      </c>
      <c r="FA4" t="e">
        <f>AND(List1!V17,"AAAAAFnv7Zw=")</f>
        <v>#VALUE!</v>
      </c>
      <c r="FB4" t="e">
        <f>AND(List1!W17,"AAAAAFnv7Z0=")</f>
        <v>#VALUE!</v>
      </c>
      <c r="FC4" t="e">
        <f>AND(List1!X17,"AAAAAFnv7Z4=")</f>
        <v>#VALUE!</v>
      </c>
      <c r="FD4" t="e">
        <f>AND(List1!Y17,"AAAAAFnv7Z8=")</f>
        <v>#VALUE!</v>
      </c>
      <c r="FE4" t="e">
        <f>AND(List1!Z17,"AAAAAFnv7aA=")</f>
        <v>#VALUE!</v>
      </c>
      <c r="FF4" t="e">
        <f>AND(List1!AA17,"AAAAAFnv7aE=")</f>
        <v>#VALUE!</v>
      </c>
      <c r="FG4" t="e">
        <f>AND(List1!AB17,"AAAAAFnv7aI=")</f>
        <v>#VALUE!</v>
      </c>
      <c r="FH4" t="e">
        <f>AND(List1!AC17,"AAAAAFnv7aM=")</f>
        <v>#VALUE!</v>
      </c>
      <c r="FI4" t="e">
        <f>AND(List1!B18,"AAAAAFnv7aQ=")</f>
        <v>#VALUE!</v>
      </c>
      <c r="FJ4" t="e">
        <f>AND(List1!C18,"AAAAAFnv7aU=")</f>
        <v>#VALUE!</v>
      </c>
      <c r="FK4" t="e">
        <f>AND(List1!D18,"AAAAAFnv7aY=")</f>
        <v>#VALUE!</v>
      </c>
      <c r="FL4" t="e">
        <f>AND(List1!E18,"AAAAAFnv7ac=")</f>
        <v>#VALUE!</v>
      </c>
      <c r="FM4" t="e">
        <f>AND(List1!F18,"AAAAAFnv7ag=")</f>
        <v>#VALUE!</v>
      </c>
      <c r="FN4" t="e">
        <f>AND(List1!G18,"AAAAAFnv7ak=")</f>
        <v>#VALUE!</v>
      </c>
      <c r="FO4" t="e">
        <f>AND(List1!H18,"AAAAAFnv7ao=")</f>
        <v>#VALUE!</v>
      </c>
      <c r="FP4" t="e">
        <f>AND(List1!I18,"AAAAAFnv7as=")</f>
        <v>#VALUE!</v>
      </c>
      <c r="FQ4" t="e">
        <f>AND(List1!J18,"AAAAAFnv7aw=")</f>
        <v>#VALUE!</v>
      </c>
      <c r="FR4" t="e">
        <f>AND(List1!K18,"AAAAAFnv7a0=")</f>
        <v>#VALUE!</v>
      </c>
      <c r="FS4" t="e">
        <f>AND(List1!L18,"AAAAAFnv7a4=")</f>
        <v>#VALUE!</v>
      </c>
      <c r="FT4" t="e">
        <f>AND(List1!M18,"AAAAAFnv7a8=")</f>
        <v>#VALUE!</v>
      </c>
      <c r="FU4" t="e">
        <f>AND(List1!N18,"AAAAAFnv7bA=")</f>
        <v>#VALUE!</v>
      </c>
      <c r="FV4" t="e">
        <f>AND(List1!O18,"AAAAAFnv7bE=")</f>
        <v>#VALUE!</v>
      </c>
      <c r="FW4" t="e">
        <f>AND(List1!P18,"AAAAAFnv7bI=")</f>
        <v>#VALUE!</v>
      </c>
      <c r="FX4" t="e">
        <f>AND(List1!Q18,"AAAAAFnv7bM=")</f>
        <v>#VALUE!</v>
      </c>
      <c r="FY4" t="e">
        <f>AND(List1!R18,"AAAAAFnv7bQ=")</f>
        <v>#VALUE!</v>
      </c>
      <c r="FZ4" t="e">
        <f>AND(List1!S18,"AAAAAFnv7bU=")</f>
        <v>#VALUE!</v>
      </c>
      <c r="GA4" t="e">
        <f>AND(List1!T18,"AAAAAFnv7bY=")</f>
        <v>#VALUE!</v>
      </c>
      <c r="GB4" t="e">
        <f>AND(List1!U18,"AAAAAFnv7bc=")</f>
        <v>#VALUE!</v>
      </c>
      <c r="GC4" t="e">
        <f>AND(List1!V18,"AAAAAFnv7bg=")</f>
        <v>#VALUE!</v>
      </c>
      <c r="GD4" t="e">
        <f>AND(List1!W18,"AAAAAFnv7bk=")</f>
        <v>#VALUE!</v>
      </c>
      <c r="GE4" t="e">
        <f>AND(List1!X18,"AAAAAFnv7bo=")</f>
        <v>#VALUE!</v>
      </c>
      <c r="GF4" t="e">
        <f>AND(List1!Y18,"AAAAAFnv7bs=")</f>
        <v>#VALUE!</v>
      </c>
      <c r="GG4" t="e">
        <f>AND(List1!Z18,"AAAAAFnv7bw=")</f>
        <v>#VALUE!</v>
      </c>
      <c r="GH4" t="e">
        <f>AND(List1!AA18,"AAAAAFnv7b0=")</f>
        <v>#VALUE!</v>
      </c>
      <c r="GI4" t="e">
        <f>AND(List1!AB18,"AAAAAFnv7b4=")</f>
        <v>#VALUE!</v>
      </c>
      <c r="GJ4" t="e">
        <f>AND(List1!AC18,"AAAAAFnv7b8=")</f>
        <v>#VALUE!</v>
      </c>
      <c r="GK4" t="e">
        <f>AND(List1!B19,"AAAAAFnv7cA=")</f>
        <v>#VALUE!</v>
      </c>
      <c r="GL4" t="e">
        <f>AND(List1!C19,"AAAAAFnv7cE=")</f>
        <v>#VALUE!</v>
      </c>
      <c r="GM4" t="e">
        <f>AND(List1!D19,"AAAAAFnv7cI=")</f>
        <v>#VALUE!</v>
      </c>
      <c r="GN4" t="e">
        <f>AND(List1!E19,"AAAAAFnv7cM=")</f>
        <v>#VALUE!</v>
      </c>
      <c r="GO4" t="e">
        <f>AND(List1!F19,"AAAAAFnv7cQ=")</f>
        <v>#VALUE!</v>
      </c>
      <c r="GP4" t="e">
        <f>AND(List1!G19,"AAAAAFnv7cU=")</f>
        <v>#VALUE!</v>
      </c>
      <c r="GQ4" t="e">
        <f>AND(List1!H19,"AAAAAFnv7cY=")</f>
        <v>#VALUE!</v>
      </c>
      <c r="GR4" t="e">
        <f>AND(List1!I19,"AAAAAFnv7cc=")</f>
        <v>#VALUE!</v>
      </c>
      <c r="GS4" t="e">
        <f>AND(List1!J19,"AAAAAFnv7cg=")</f>
        <v>#VALUE!</v>
      </c>
      <c r="GT4" t="e">
        <f>AND(List1!K19,"AAAAAFnv7ck=")</f>
        <v>#VALUE!</v>
      </c>
      <c r="GU4" t="e">
        <f>AND(List1!L19,"AAAAAFnv7co=")</f>
        <v>#VALUE!</v>
      </c>
      <c r="GV4" t="e">
        <f>AND(List1!M19,"AAAAAFnv7cs=")</f>
        <v>#VALUE!</v>
      </c>
      <c r="GW4" t="e">
        <f>AND(List1!N19,"AAAAAFnv7cw=")</f>
        <v>#VALUE!</v>
      </c>
      <c r="GX4" t="e">
        <f>AND(List1!O19,"AAAAAFnv7c0=")</f>
        <v>#VALUE!</v>
      </c>
      <c r="GY4" t="e">
        <f>AND(List1!P19,"AAAAAFnv7c4=")</f>
        <v>#VALUE!</v>
      </c>
      <c r="GZ4" t="e">
        <f>AND(List1!Q19,"AAAAAFnv7c8=")</f>
        <v>#VALUE!</v>
      </c>
      <c r="HA4" t="e">
        <f>AND(List1!R19,"AAAAAFnv7dA=")</f>
        <v>#VALUE!</v>
      </c>
      <c r="HB4" t="e">
        <f>AND(List1!S19,"AAAAAFnv7dE=")</f>
        <v>#VALUE!</v>
      </c>
      <c r="HC4" t="e">
        <f>AND(List1!T19,"AAAAAFnv7dI=")</f>
        <v>#VALUE!</v>
      </c>
      <c r="HD4" t="e">
        <f>AND(List1!U19,"AAAAAFnv7dM=")</f>
        <v>#VALUE!</v>
      </c>
      <c r="HE4" t="e">
        <f>AND(List1!V19,"AAAAAFnv7dQ=")</f>
        <v>#VALUE!</v>
      </c>
      <c r="HF4" t="e">
        <f>AND(List1!W19,"AAAAAFnv7dU=")</f>
        <v>#VALUE!</v>
      </c>
      <c r="HG4" t="e">
        <f>AND(List1!X19,"AAAAAFnv7dY=")</f>
        <v>#VALUE!</v>
      </c>
      <c r="HH4" t="e">
        <f>AND(List1!Y19,"AAAAAFnv7dc=")</f>
        <v>#VALUE!</v>
      </c>
      <c r="HI4" t="e">
        <f>AND(List1!Z19,"AAAAAFnv7dg=")</f>
        <v>#VALUE!</v>
      </c>
      <c r="HJ4" t="e">
        <f>AND(List1!AA19,"AAAAAFnv7dk=")</f>
        <v>#VALUE!</v>
      </c>
      <c r="HK4" t="e">
        <f>AND(List1!AB19,"AAAAAFnv7do=")</f>
        <v>#VALUE!</v>
      </c>
      <c r="HL4" t="e">
        <f>AND(List1!AC19,"AAAAAFnv7ds=")</f>
        <v>#VALUE!</v>
      </c>
      <c r="HM4" t="e">
        <f>AND(List1!B20,"AAAAAFnv7dw=")</f>
        <v>#VALUE!</v>
      </c>
      <c r="HN4" t="e">
        <f>AND(List1!C20,"AAAAAFnv7d0=")</f>
        <v>#VALUE!</v>
      </c>
      <c r="HO4" t="e">
        <f>AND(List1!D20,"AAAAAFnv7d4=")</f>
        <v>#VALUE!</v>
      </c>
      <c r="HP4" t="e">
        <f>AND(List1!E20,"AAAAAFnv7d8=")</f>
        <v>#VALUE!</v>
      </c>
      <c r="HQ4" t="e">
        <f>AND(List1!F20,"AAAAAFnv7eA=")</f>
        <v>#VALUE!</v>
      </c>
      <c r="HR4" t="e">
        <f>AND(List1!G20,"AAAAAFnv7eE=")</f>
        <v>#VALUE!</v>
      </c>
      <c r="HS4" t="e">
        <f>AND(List1!H20,"AAAAAFnv7eI=")</f>
        <v>#VALUE!</v>
      </c>
      <c r="HT4" t="e">
        <f>AND(List1!I20,"AAAAAFnv7eM=")</f>
        <v>#VALUE!</v>
      </c>
      <c r="HU4" t="e">
        <f>AND(List1!J20,"AAAAAFnv7eQ=")</f>
        <v>#VALUE!</v>
      </c>
      <c r="HV4" t="e">
        <f>AND(List1!K20,"AAAAAFnv7eU=")</f>
        <v>#VALUE!</v>
      </c>
      <c r="HW4" t="e">
        <f>AND(List1!L20,"AAAAAFnv7eY=")</f>
        <v>#VALUE!</v>
      </c>
      <c r="HX4" t="e">
        <f>AND(List1!M20,"AAAAAFnv7ec=")</f>
        <v>#VALUE!</v>
      </c>
      <c r="HY4" t="e">
        <f>AND(List1!N20,"AAAAAFnv7eg=")</f>
        <v>#VALUE!</v>
      </c>
      <c r="HZ4" t="e">
        <f>AND(List1!O20,"AAAAAFnv7ek=")</f>
        <v>#VALUE!</v>
      </c>
      <c r="IA4" t="e">
        <f>AND(List1!P20,"AAAAAFnv7eo=")</f>
        <v>#VALUE!</v>
      </c>
      <c r="IB4" t="e">
        <f>AND(List1!Q20,"AAAAAFnv7es=")</f>
        <v>#VALUE!</v>
      </c>
      <c r="IC4" t="e">
        <f>AND(List1!R20,"AAAAAFnv7ew=")</f>
        <v>#VALUE!</v>
      </c>
      <c r="ID4" t="e">
        <f>AND(List1!S20,"AAAAAFnv7e0=")</f>
        <v>#VALUE!</v>
      </c>
      <c r="IE4" t="e">
        <f>AND(List1!T20,"AAAAAFnv7e4=")</f>
        <v>#VALUE!</v>
      </c>
      <c r="IF4" t="e">
        <f>AND(List1!U20,"AAAAAFnv7e8=")</f>
        <v>#VALUE!</v>
      </c>
      <c r="IG4" t="e">
        <f>AND(List1!V20,"AAAAAFnv7fA=")</f>
        <v>#VALUE!</v>
      </c>
      <c r="IH4" t="e">
        <f>AND(List1!W20,"AAAAAFnv7fE=")</f>
        <v>#VALUE!</v>
      </c>
      <c r="II4" t="e">
        <f>AND(List1!X20,"AAAAAFnv7fI=")</f>
        <v>#VALUE!</v>
      </c>
      <c r="IJ4" t="e">
        <f>AND(List1!Y20,"AAAAAFnv7fM=")</f>
        <v>#VALUE!</v>
      </c>
      <c r="IK4" t="e">
        <f>AND(List1!Z20,"AAAAAFnv7fQ=")</f>
        <v>#VALUE!</v>
      </c>
      <c r="IL4" t="e">
        <f>AND(List1!AA20,"AAAAAFnv7fU=")</f>
        <v>#VALUE!</v>
      </c>
      <c r="IM4" t="e">
        <f>AND(List1!AB20,"AAAAAFnv7fY=")</f>
        <v>#VALUE!</v>
      </c>
      <c r="IN4" t="e">
        <f>AND(List1!AC20,"AAAAAFnv7fc=")</f>
        <v>#VALUE!</v>
      </c>
      <c r="IO4" t="e">
        <f>AND(List1!B21,"AAAAAFnv7fg=")</f>
        <v>#VALUE!</v>
      </c>
      <c r="IP4" t="e">
        <f>AND(List1!C21,"AAAAAFnv7fk=")</f>
        <v>#VALUE!</v>
      </c>
      <c r="IQ4" t="e">
        <f>AND(List1!D21,"AAAAAFnv7fo=")</f>
        <v>#VALUE!</v>
      </c>
      <c r="IR4" t="e">
        <f>AND(List1!E21,"AAAAAFnv7fs=")</f>
        <v>#VALUE!</v>
      </c>
      <c r="IS4" t="e">
        <f>AND(List1!F21,"AAAAAFnv7fw=")</f>
        <v>#VALUE!</v>
      </c>
      <c r="IT4" t="e">
        <f>AND(List1!G21,"AAAAAFnv7f0=")</f>
        <v>#VALUE!</v>
      </c>
      <c r="IU4" t="e">
        <f>AND(List1!H21,"AAAAAFnv7f4=")</f>
        <v>#VALUE!</v>
      </c>
      <c r="IV4" t="e">
        <f>AND(List1!I21,"AAAAAFnv7f8=")</f>
        <v>#VALUE!</v>
      </c>
    </row>
    <row r="5" spans="1:256" x14ac:dyDescent="0.25">
      <c r="A5" t="e">
        <f>AND(List1!J21,"AAAAAH/5XQA=")</f>
        <v>#VALUE!</v>
      </c>
      <c r="B5" t="e">
        <f>AND(List1!K21,"AAAAAH/5XQE=")</f>
        <v>#VALUE!</v>
      </c>
      <c r="C5" t="e">
        <f>AND(List1!L21,"AAAAAH/5XQI=")</f>
        <v>#VALUE!</v>
      </c>
      <c r="D5" t="e">
        <f>AND(List1!M21,"AAAAAH/5XQM=")</f>
        <v>#VALUE!</v>
      </c>
      <c r="E5" t="e">
        <f>AND(List1!N21,"AAAAAH/5XQQ=")</f>
        <v>#VALUE!</v>
      </c>
      <c r="F5" t="e">
        <f>AND(List1!O21,"AAAAAH/5XQU=")</f>
        <v>#VALUE!</v>
      </c>
      <c r="G5" t="e">
        <f>AND(List1!P21,"AAAAAH/5XQY=")</f>
        <v>#VALUE!</v>
      </c>
      <c r="H5" t="e">
        <f>AND(List1!Q21,"AAAAAH/5XQc=")</f>
        <v>#VALUE!</v>
      </c>
      <c r="I5" t="e">
        <f>AND(List1!R21,"AAAAAH/5XQg=")</f>
        <v>#VALUE!</v>
      </c>
      <c r="J5" t="e">
        <f>AND(List1!S21,"AAAAAH/5XQk=")</f>
        <v>#VALUE!</v>
      </c>
      <c r="K5" t="e">
        <f>AND(List1!T21,"AAAAAH/5XQo=")</f>
        <v>#VALUE!</v>
      </c>
      <c r="L5" t="e">
        <f>AND(List1!U21,"AAAAAH/5XQs=")</f>
        <v>#VALUE!</v>
      </c>
      <c r="M5" t="e">
        <f>AND(List1!V21,"AAAAAH/5XQw=")</f>
        <v>#VALUE!</v>
      </c>
      <c r="N5" t="e">
        <f>AND(List1!W21,"AAAAAH/5XQ0=")</f>
        <v>#VALUE!</v>
      </c>
      <c r="O5" t="e">
        <f>AND(List1!X21,"AAAAAH/5XQ4=")</f>
        <v>#VALUE!</v>
      </c>
      <c r="P5" t="e">
        <f>AND(List1!Y21,"AAAAAH/5XQ8=")</f>
        <v>#VALUE!</v>
      </c>
      <c r="Q5" t="e">
        <f>AND(List1!Z21,"AAAAAH/5XRA=")</f>
        <v>#VALUE!</v>
      </c>
      <c r="R5" t="e">
        <f>AND(List1!AA21,"AAAAAH/5XRE=")</f>
        <v>#VALUE!</v>
      </c>
      <c r="S5" t="e">
        <f>AND(List1!AB21,"AAAAAH/5XRI=")</f>
        <v>#VALUE!</v>
      </c>
      <c r="T5" t="e">
        <f>AND(List1!AC21,"AAAAAH/5XRM=")</f>
        <v>#VALUE!</v>
      </c>
      <c r="U5" t="e">
        <f>AND(List1!B22,"AAAAAH/5XRQ=")</f>
        <v>#VALUE!</v>
      </c>
      <c r="V5" t="e">
        <f>AND(List1!C22,"AAAAAH/5XRU=")</f>
        <v>#VALUE!</v>
      </c>
      <c r="W5" t="e">
        <f>AND(List1!D22,"AAAAAH/5XRY=")</f>
        <v>#VALUE!</v>
      </c>
      <c r="X5" t="e">
        <f>AND(List1!E22,"AAAAAH/5XRc=")</f>
        <v>#VALUE!</v>
      </c>
      <c r="Y5" t="e">
        <f>AND(List1!F22,"AAAAAH/5XRg=")</f>
        <v>#VALUE!</v>
      </c>
      <c r="Z5" t="e">
        <f>AND(List1!G22,"AAAAAH/5XRk=")</f>
        <v>#VALUE!</v>
      </c>
      <c r="AA5" t="e">
        <f>AND(List1!H22,"AAAAAH/5XRo=")</f>
        <v>#VALUE!</v>
      </c>
      <c r="AB5" t="e">
        <f>AND(List1!I22,"AAAAAH/5XRs=")</f>
        <v>#VALUE!</v>
      </c>
      <c r="AC5" t="e">
        <f>AND(List1!J22,"AAAAAH/5XRw=")</f>
        <v>#VALUE!</v>
      </c>
      <c r="AD5" t="e">
        <f>AND(List1!K22,"AAAAAH/5XR0=")</f>
        <v>#VALUE!</v>
      </c>
      <c r="AE5" t="e">
        <f>AND(List1!L22,"AAAAAH/5XR4=")</f>
        <v>#VALUE!</v>
      </c>
      <c r="AF5" t="e">
        <f>AND(List1!M22,"AAAAAH/5XR8=")</f>
        <v>#VALUE!</v>
      </c>
      <c r="AG5" t="e">
        <f>AND(List1!N22,"AAAAAH/5XSA=")</f>
        <v>#VALUE!</v>
      </c>
      <c r="AH5" t="e">
        <f>AND(List1!O22,"AAAAAH/5XSE=")</f>
        <v>#VALUE!</v>
      </c>
      <c r="AI5" t="e">
        <f>AND(List1!P22,"AAAAAH/5XSI=")</f>
        <v>#VALUE!</v>
      </c>
      <c r="AJ5" t="e">
        <f>AND(List1!Q22,"AAAAAH/5XSM=")</f>
        <v>#VALUE!</v>
      </c>
      <c r="AK5" t="e">
        <f>AND(List1!R22,"AAAAAH/5XSQ=")</f>
        <v>#VALUE!</v>
      </c>
      <c r="AL5" t="e">
        <f>AND(List1!S22,"AAAAAH/5XSU=")</f>
        <v>#VALUE!</v>
      </c>
      <c r="AM5" t="e">
        <f>AND(List1!T22,"AAAAAH/5XSY=")</f>
        <v>#VALUE!</v>
      </c>
      <c r="AN5" t="e">
        <f>AND(List1!U22,"AAAAAH/5XSc=")</f>
        <v>#VALUE!</v>
      </c>
      <c r="AO5" t="e">
        <f>AND(List1!V22,"AAAAAH/5XSg=")</f>
        <v>#VALUE!</v>
      </c>
      <c r="AP5" t="e">
        <f>AND(List1!W22,"AAAAAH/5XSk=")</f>
        <v>#VALUE!</v>
      </c>
      <c r="AQ5" t="e">
        <f>AND(List1!X22,"AAAAAH/5XSo=")</f>
        <v>#VALUE!</v>
      </c>
      <c r="AR5" t="e">
        <f>AND(List1!Y22,"AAAAAH/5XSs=")</f>
        <v>#VALUE!</v>
      </c>
      <c r="AS5" t="e">
        <f>AND(List1!Z22,"AAAAAH/5XSw=")</f>
        <v>#VALUE!</v>
      </c>
      <c r="AT5" t="e">
        <f>AND(List1!AA22,"AAAAAH/5XS0=")</f>
        <v>#VALUE!</v>
      </c>
      <c r="AU5" t="e">
        <f>AND(List1!AB22,"AAAAAH/5XS4=")</f>
        <v>#VALUE!</v>
      </c>
      <c r="AV5" t="e">
        <f>AND(List1!AC22,"AAAAAH/5XS8=")</f>
        <v>#VALUE!</v>
      </c>
      <c r="AW5" t="e">
        <f>AND(List1!B23,"AAAAAH/5XTA=")</f>
        <v>#VALUE!</v>
      </c>
      <c r="AX5" t="e">
        <f>AND(List1!C23,"AAAAAH/5XTE=")</f>
        <v>#VALUE!</v>
      </c>
      <c r="AY5" t="e">
        <f>AND(List1!D23,"AAAAAH/5XTI=")</f>
        <v>#VALUE!</v>
      </c>
      <c r="AZ5" t="e">
        <f>AND(List1!E23,"AAAAAH/5XTM=")</f>
        <v>#VALUE!</v>
      </c>
      <c r="BA5" t="e">
        <f>AND(List1!F23,"AAAAAH/5XTQ=")</f>
        <v>#VALUE!</v>
      </c>
      <c r="BB5" t="e">
        <f>AND(List1!G23,"AAAAAH/5XTU=")</f>
        <v>#VALUE!</v>
      </c>
      <c r="BC5" t="e">
        <f>AND(List1!H23,"AAAAAH/5XTY=")</f>
        <v>#VALUE!</v>
      </c>
      <c r="BD5" t="e">
        <f>AND(List1!I23,"AAAAAH/5XTc=")</f>
        <v>#VALUE!</v>
      </c>
      <c r="BE5" t="e">
        <f>AND(List1!J23,"AAAAAH/5XTg=")</f>
        <v>#VALUE!</v>
      </c>
      <c r="BF5" t="e">
        <f>AND(List1!K23,"AAAAAH/5XTk=")</f>
        <v>#VALUE!</v>
      </c>
      <c r="BG5" t="e">
        <f>AND(List1!L23,"AAAAAH/5XTo=")</f>
        <v>#VALUE!</v>
      </c>
      <c r="BH5" t="e">
        <f>AND(List1!M23,"AAAAAH/5XTs=")</f>
        <v>#VALUE!</v>
      </c>
      <c r="BI5" t="e">
        <f>AND(List1!N23,"AAAAAH/5XTw=")</f>
        <v>#VALUE!</v>
      </c>
      <c r="BJ5" t="e">
        <f>AND(List1!O23,"AAAAAH/5XT0=")</f>
        <v>#VALUE!</v>
      </c>
      <c r="BK5" t="e">
        <f>AND(List1!P23,"AAAAAH/5XT4=")</f>
        <v>#VALUE!</v>
      </c>
      <c r="BL5" t="e">
        <f>AND(List1!Q23,"AAAAAH/5XT8=")</f>
        <v>#VALUE!</v>
      </c>
      <c r="BM5" t="e">
        <f>AND(List1!R23,"AAAAAH/5XUA=")</f>
        <v>#VALUE!</v>
      </c>
      <c r="BN5" t="e">
        <f>AND(List1!S23,"AAAAAH/5XUE=")</f>
        <v>#VALUE!</v>
      </c>
      <c r="BO5" t="e">
        <f>AND(List1!T23,"AAAAAH/5XUI=")</f>
        <v>#VALUE!</v>
      </c>
      <c r="BP5" t="e">
        <f>AND(List1!U23,"AAAAAH/5XUM=")</f>
        <v>#VALUE!</v>
      </c>
      <c r="BQ5" t="e">
        <f>AND(List1!V23,"AAAAAH/5XUQ=")</f>
        <v>#VALUE!</v>
      </c>
      <c r="BR5" t="e">
        <f>AND(List1!W23,"AAAAAH/5XUU=")</f>
        <v>#VALUE!</v>
      </c>
      <c r="BS5" t="e">
        <f>AND(List1!X23,"AAAAAH/5XUY=")</f>
        <v>#VALUE!</v>
      </c>
      <c r="BT5" t="e">
        <f>AND(List1!Y23,"AAAAAH/5XUc=")</f>
        <v>#VALUE!</v>
      </c>
      <c r="BU5" t="e">
        <f>AND(List1!Z23,"AAAAAH/5XUg=")</f>
        <v>#VALUE!</v>
      </c>
      <c r="BV5" t="e">
        <f>AND(List1!AA23,"AAAAAH/5XUk=")</f>
        <v>#VALUE!</v>
      </c>
      <c r="BW5" t="e">
        <f>AND(List1!AB23,"AAAAAH/5XUo=")</f>
        <v>#VALUE!</v>
      </c>
      <c r="BX5" t="e">
        <f>AND(List1!AC23,"AAAAAH/5XUs=")</f>
        <v>#VALUE!</v>
      </c>
      <c r="BY5" t="e">
        <f>AND(List1!B24,"AAAAAH/5XUw=")</f>
        <v>#VALUE!</v>
      </c>
      <c r="BZ5" t="e">
        <f>AND(List1!C24,"AAAAAH/5XU0=")</f>
        <v>#VALUE!</v>
      </c>
      <c r="CA5" t="e">
        <f>AND(List1!D24,"AAAAAH/5XU4=")</f>
        <v>#VALUE!</v>
      </c>
      <c r="CB5" t="e">
        <f>AND(List1!E24,"AAAAAH/5XU8=")</f>
        <v>#VALUE!</v>
      </c>
      <c r="CC5" t="e">
        <f>AND(List1!F24,"AAAAAH/5XVA=")</f>
        <v>#VALUE!</v>
      </c>
      <c r="CD5" t="e">
        <f>AND(List1!G24,"AAAAAH/5XVE=")</f>
        <v>#VALUE!</v>
      </c>
      <c r="CE5" t="e">
        <f>AND(List1!H24,"AAAAAH/5XVI=")</f>
        <v>#VALUE!</v>
      </c>
      <c r="CF5" t="e">
        <f>AND(List1!I24,"AAAAAH/5XVM=")</f>
        <v>#VALUE!</v>
      </c>
      <c r="CG5" t="e">
        <f>AND(List1!J24,"AAAAAH/5XVQ=")</f>
        <v>#VALUE!</v>
      </c>
      <c r="CH5" t="e">
        <f>AND(List1!K24,"AAAAAH/5XVU=")</f>
        <v>#VALUE!</v>
      </c>
      <c r="CI5" t="e">
        <f>AND(List1!L24,"AAAAAH/5XVY=")</f>
        <v>#VALUE!</v>
      </c>
      <c r="CJ5" t="e">
        <f>AND(List1!M24,"AAAAAH/5XVc=")</f>
        <v>#VALUE!</v>
      </c>
      <c r="CK5" t="e">
        <f>AND(List1!N24,"AAAAAH/5XVg=")</f>
        <v>#VALUE!</v>
      </c>
      <c r="CL5" t="e">
        <f>AND(List1!O24,"AAAAAH/5XVk=")</f>
        <v>#VALUE!</v>
      </c>
      <c r="CM5" t="e">
        <f>AND(List1!P24,"AAAAAH/5XVo=")</f>
        <v>#VALUE!</v>
      </c>
      <c r="CN5" t="e">
        <f>AND(List1!Q24,"AAAAAH/5XVs=")</f>
        <v>#VALUE!</v>
      </c>
      <c r="CO5" t="e">
        <f>AND(List1!R24,"AAAAAH/5XVw=")</f>
        <v>#VALUE!</v>
      </c>
      <c r="CP5" t="e">
        <f>AND(List1!S24,"AAAAAH/5XV0=")</f>
        <v>#VALUE!</v>
      </c>
      <c r="CQ5" t="e">
        <f>AND(List1!T24,"AAAAAH/5XV4=")</f>
        <v>#VALUE!</v>
      </c>
      <c r="CR5" t="e">
        <f>AND(List1!U24,"AAAAAH/5XV8=")</f>
        <v>#VALUE!</v>
      </c>
      <c r="CS5" t="e">
        <f>AND(List1!V24,"AAAAAH/5XWA=")</f>
        <v>#VALUE!</v>
      </c>
      <c r="CT5" t="e">
        <f>AND(List1!W24,"AAAAAH/5XWE=")</f>
        <v>#VALUE!</v>
      </c>
      <c r="CU5" t="e">
        <f>AND(List1!X24,"AAAAAH/5XWI=")</f>
        <v>#VALUE!</v>
      </c>
      <c r="CV5" t="e">
        <f>AND(List1!Y24,"AAAAAH/5XWM=")</f>
        <v>#VALUE!</v>
      </c>
      <c r="CW5" t="e">
        <f>AND(List1!Z24,"AAAAAH/5XWQ=")</f>
        <v>#VALUE!</v>
      </c>
      <c r="CX5" t="e">
        <f>AND(List1!AA24,"AAAAAH/5XWU=")</f>
        <v>#VALUE!</v>
      </c>
      <c r="CY5" t="e">
        <f>AND(List1!AB24,"AAAAAH/5XWY=")</f>
        <v>#VALUE!</v>
      </c>
      <c r="CZ5" t="e">
        <f>AND(List1!AC24,"AAAAAH/5XWc=")</f>
        <v>#VALUE!</v>
      </c>
      <c r="DA5" t="e">
        <f>AND(List1!B25,"AAAAAH/5XWg=")</f>
        <v>#VALUE!</v>
      </c>
      <c r="DB5" t="e">
        <f>AND(List1!C25,"AAAAAH/5XWk=")</f>
        <v>#VALUE!</v>
      </c>
      <c r="DC5" t="e">
        <f>AND(List1!D25,"AAAAAH/5XWo=")</f>
        <v>#VALUE!</v>
      </c>
      <c r="DD5" t="e">
        <f>AND(List1!E25,"AAAAAH/5XWs=")</f>
        <v>#VALUE!</v>
      </c>
      <c r="DE5" t="e">
        <f>AND(List1!F25,"AAAAAH/5XWw=")</f>
        <v>#VALUE!</v>
      </c>
      <c r="DF5" t="e">
        <f>AND(List1!G25,"AAAAAH/5XW0=")</f>
        <v>#VALUE!</v>
      </c>
      <c r="DG5" t="e">
        <f>AND(List1!H25,"AAAAAH/5XW4=")</f>
        <v>#VALUE!</v>
      </c>
      <c r="DH5" t="e">
        <f>AND(List1!I25,"AAAAAH/5XW8=")</f>
        <v>#VALUE!</v>
      </c>
      <c r="DI5" t="e">
        <f>AND(List1!J25,"AAAAAH/5XXA=")</f>
        <v>#VALUE!</v>
      </c>
      <c r="DJ5" t="e">
        <f>AND(List1!K25,"AAAAAH/5XXE=")</f>
        <v>#VALUE!</v>
      </c>
      <c r="DK5" t="e">
        <f>AND(List1!L25,"AAAAAH/5XXI=")</f>
        <v>#VALUE!</v>
      </c>
      <c r="DL5" t="e">
        <f>AND(List1!M25,"AAAAAH/5XXM=")</f>
        <v>#VALUE!</v>
      </c>
      <c r="DM5" t="e">
        <f>AND(List1!N25,"AAAAAH/5XXQ=")</f>
        <v>#VALUE!</v>
      </c>
      <c r="DN5" t="e">
        <f>AND(List1!O25,"AAAAAH/5XXU=")</f>
        <v>#VALUE!</v>
      </c>
      <c r="DO5" t="e">
        <f>AND(List1!P25,"AAAAAH/5XXY=")</f>
        <v>#VALUE!</v>
      </c>
      <c r="DP5" t="e">
        <f>AND(List1!Q25,"AAAAAH/5XXc=")</f>
        <v>#VALUE!</v>
      </c>
      <c r="DQ5" t="e">
        <f>AND(List1!R25,"AAAAAH/5XXg=")</f>
        <v>#VALUE!</v>
      </c>
      <c r="DR5" t="e">
        <f>AND(List1!S25,"AAAAAH/5XXk=")</f>
        <v>#VALUE!</v>
      </c>
      <c r="DS5" t="e">
        <f>AND(List1!T25,"AAAAAH/5XXo=")</f>
        <v>#VALUE!</v>
      </c>
      <c r="DT5" t="e">
        <f>AND(List1!U25,"AAAAAH/5XXs=")</f>
        <v>#VALUE!</v>
      </c>
      <c r="DU5" t="e">
        <f>AND(List1!V25,"AAAAAH/5XXw=")</f>
        <v>#VALUE!</v>
      </c>
      <c r="DV5" t="e">
        <f>AND(List1!W25,"AAAAAH/5XX0=")</f>
        <v>#VALUE!</v>
      </c>
      <c r="DW5" t="e">
        <f>AND(List1!X25,"AAAAAH/5XX4=")</f>
        <v>#VALUE!</v>
      </c>
      <c r="DX5" t="e">
        <f>AND(List1!Y25,"AAAAAH/5XX8=")</f>
        <v>#VALUE!</v>
      </c>
      <c r="DY5" t="e">
        <f>AND(List1!Z25,"AAAAAH/5XYA=")</f>
        <v>#VALUE!</v>
      </c>
      <c r="DZ5" t="e">
        <f>AND(List1!AA25,"AAAAAH/5XYE=")</f>
        <v>#VALUE!</v>
      </c>
      <c r="EA5" t="e">
        <f>AND(List1!AB25,"AAAAAH/5XYI=")</f>
        <v>#VALUE!</v>
      </c>
      <c r="EB5" t="e">
        <f>AND(List1!AC25,"AAAAAH/5XYM=")</f>
        <v>#VALUE!</v>
      </c>
      <c r="EC5" t="e">
        <f>AND(List1!B26,"AAAAAH/5XYQ=")</f>
        <v>#VALUE!</v>
      </c>
      <c r="ED5" t="e">
        <f>AND(List1!C26,"AAAAAH/5XYU=")</f>
        <v>#VALUE!</v>
      </c>
      <c r="EE5" t="e">
        <f>AND(List1!D26,"AAAAAH/5XYY=")</f>
        <v>#VALUE!</v>
      </c>
      <c r="EF5" t="e">
        <f>AND(List1!E26,"AAAAAH/5XYc=")</f>
        <v>#VALUE!</v>
      </c>
      <c r="EG5" t="e">
        <f>AND(List1!F26,"AAAAAH/5XYg=")</f>
        <v>#VALUE!</v>
      </c>
      <c r="EH5" t="e">
        <f>AND(List1!G26,"AAAAAH/5XYk=")</f>
        <v>#VALUE!</v>
      </c>
      <c r="EI5" t="e">
        <f>AND(List1!H26,"AAAAAH/5XYo=")</f>
        <v>#VALUE!</v>
      </c>
      <c r="EJ5" t="e">
        <f>AND(List1!I26,"AAAAAH/5XYs=")</f>
        <v>#VALUE!</v>
      </c>
      <c r="EK5" t="e">
        <f>AND(List1!J26,"AAAAAH/5XYw=")</f>
        <v>#VALUE!</v>
      </c>
      <c r="EL5" t="e">
        <f>AND(List1!K26,"AAAAAH/5XY0=")</f>
        <v>#VALUE!</v>
      </c>
      <c r="EM5" t="e">
        <f>AND(List1!L26,"AAAAAH/5XY4=")</f>
        <v>#VALUE!</v>
      </c>
      <c r="EN5" t="e">
        <f>AND(List1!M26,"AAAAAH/5XY8=")</f>
        <v>#VALUE!</v>
      </c>
      <c r="EO5" t="e">
        <f>AND(List1!N26,"AAAAAH/5XZA=")</f>
        <v>#VALUE!</v>
      </c>
      <c r="EP5" t="e">
        <f>AND(List1!O26,"AAAAAH/5XZE=")</f>
        <v>#VALUE!</v>
      </c>
      <c r="EQ5" t="e">
        <f>AND(List1!P26,"AAAAAH/5XZI=")</f>
        <v>#VALUE!</v>
      </c>
      <c r="ER5" t="e">
        <f>AND(List1!Q26,"AAAAAH/5XZM=")</f>
        <v>#VALUE!</v>
      </c>
      <c r="ES5" t="e">
        <f>AND(List1!R26,"AAAAAH/5XZQ=")</f>
        <v>#VALUE!</v>
      </c>
      <c r="ET5" t="e">
        <f>AND(List1!S26,"AAAAAH/5XZU=")</f>
        <v>#VALUE!</v>
      </c>
      <c r="EU5" t="e">
        <f>AND(List1!T26,"AAAAAH/5XZY=")</f>
        <v>#VALUE!</v>
      </c>
      <c r="EV5" t="e">
        <f>AND(List1!U26,"AAAAAH/5XZc=")</f>
        <v>#VALUE!</v>
      </c>
      <c r="EW5" t="e">
        <f>AND(List1!V26,"AAAAAH/5XZg=")</f>
        <v>#VALUE!</v>
      </c>
      <c r="EX5" t="e">
        <f>AND(List1!W26,"AAAAAH/5XZk=")</f>
        <v>#VALUE!</v>
      </c>
      <c r="EY5" t="e">
        <f>AND(List1!X26,"AAAAAH/5XZo=")</f>
        <v>#VALUE!</v>
      </c>
      <c r="EZ5" t="e">
        <f>AND(List1!Y26,"AAAAAH/5XZs=")</f>
        <v>#VALUE!</v>
      </c>
      <c r="FA5" t="e">
        <f>AND(List1!Z26,"AAAAAH/5XZw=")</f>
        <v>#VALUE!</v>
      </c>
      <c r="FB5" t="e">
        <f>AND(List1!AA26,"AAAAAH/5XZ0=")</f>
        <v>#VALUE!</v>
      </c>
      <c r="FC5" t="e">
        <f>AND(List1!AB26,"AAAAAH/5XZ4=")</f>
        <v>#VALUE!</v>
      </c>
      <c r="FD5" t="e">
        <f>AND(List1!AC26,"AAAAAH/5XZ8=")</f>
        <v>#VALUE!</v>
      </c>
      <c r="FE5" t="e">
        <f>AND(List1!B27,"AAAAAH/5XaA=")</f>
        <v>#VALUE!</v>
      </c>
      <c r="FF5" t="e">
        <f>AND(List1!C27,"AAAAAH/5XaE=")</f>
        <v>#VALUE!</v>
      </c>
      <c r="FG5" t="e">
        <f>AND(List1!D27,"AAAAAH/5XaI=")</f>
        <v>#VALUE!</v>
      </c>
      <c r="FH5" t="e">
        <f>AND(List1!E27,"AAAAAH/5XaM=")</f>
        <v>#VALUE!</v>
      </c>
      <c r="FI5" t="e">
        <f>AND(List1!F27,"AAAAAH/5XaQ=")</f>
        <v>#VALUE!</v>
      </c>
      <c r="FJ5" t="e">
        <f>AND(List1!G27,"AAAAAH/5XaU=")</f>
        <v>#VALUE!</v>
      </c>
      <c r="FK5" t="e">
        <f>AND(List1!H27,"AAAAAH/5XaY=")</f>
        <v>#VALUE!</v>
      </c>
      <c r="FL5" t="e">
        <f>AND(List1!I27,"AAAAAH/5Xac=")</f>
        <v>#VALUE!</v>
      </c>
      <c r="FM5" t="e">
        <f>AND(List1!J27,"AAAAAH/5Xag=")</f>
        <v>#VALUE!</v>
      </c>
      <c r="FN5" t="e">
        <f>AND(List1!K27,"AAAAAH/5Xak=")</f>
        <v>#VALUE!</v>
      </c>
      <c r="FO5" t="e">
        <f>AND(List1!L27,"AAAAAH/5Xao=")</f>
        <v>#VALUE!</v>
      </c>
      <c r="FP5" t="e">
        <f>AND(List1!M27,"AAAAAH/5Xas=")</f>
        <v>#VALUE!</v>
      </c>
      <c r="FQ5" t="e">
        <f>AND(List1!N27,"AAAAAH/5Xaw=")</f>
        <v>#VALUE!</v>
      </c>
      <c r="FR5" t="e">
        <f>AND(List1!O27,"AAAAAH/5Xa0=")</f>
        <v>#VALUE!</v>
      </c>
      <c r="FS5" t="e">
        <f>AND(List1!P27,"AAAAAH/5Xa4=")</f>
        <v>#VALUE!</v>
      </c>
      <c r="FT5" t="e">
        <f>AND(List1!Q27,"AAAAAH/5Xa8=")</f>
        <v>#VALUE!</v>
      </c>
      <c r="FU5" t="e">
        <f>AND(List1!R27,"AAAAAH/5XbA=")</f>
        <v>#VALUE!</v>
      </c>
      <c r="FV5" t="e">
        <f>AND(List1!S27,"AAAAAH/5XbE=")</f>
        <v>#VALUE!</v>
      </c>
      <c r="FW5" t="e">
        <f>AND(List1!T27,"AAAAAH/5XbI=")</f>
        <v>#VALUE!</v>
      </c>
      <c r="FX5" t="e">
        <f>AND(List1!U27,"AAAAAH/5XbM=")</f>
        <v>#VALUE!</v>
      </c>
      <c r="FY5" t="e">
        <f>AND(List1!V27,"AAAAAH/5XbQ=")</f>
        <v>#VALUE!</v>
      </c>
      <c r="FZ5" t="e">
        <f>AND(List1!W27,"AAAAAH/5XbU=")</f>
        <v>#VALUE!</v>
      </c>
      <c r="GA5" t="e">
        <f>AND(List1!X27,"AAAAAH/5XbY=")</f>
        <v>#VALUE!</v>
      </c>
      <c r="GB5" t="e">
        <f>AND(List1!Y27,"AAAAAH/5Xbc=")</f>
        <v>#VALUE!</v>
      </c>
      <c r="GC5" t="e">
        <f>AND(List1!Z27,"AAAAAH/5Xbg=")</f>
        <v>#VALUE!</v>
      </c>
      <c r="GD5" t="e">
        <f>AND(List1!AA27,"AAAAAH/5Xbk=")</f>
        <v>#VALUE!</v>
      </c>
      <c r="GE5" t="e">
        <f>AND(List1!AB27,"AAAAAH/5Xbo=")</f>
        <v>#VALUE!</v>
      </c>
      <c r="GF5" t="e">
        <f>AND(List1!AC27,"AAAAAH/5Xbs=")</f>
        <v>#VALUE!</v>
      </c>
      <c r="GG5" t="e">
        <f>AND(List1!B28,"AAAAAH/5Xbw=")</f>
        <v>#VALUE!</v>
      </c>
      <c r="GH5" t="e">
        <f>AND(List1!C28,"AAAAAH/5Xb0=")</f>
        <v>#VALUE!</v>
      </c>
      <c r="GI5" t="e">
        <f>AND(List1!D28,"AAAAAH/5Xb4=")</f>
        <v>#VALUE!</v>
      </c>
      <c r="GJ5" t="e">
        <f>AND(List1!E28,"AAAAAH/5Xb8=")</f>
        <v>#VALUE!</v>
      </c>
      <c r="GK5" t="e">
        <f>AND(List1!F28,"AAAAAH/5XcA=")</f>
        <v>#VALUE!</v>
      </c>
      <c r="GL5" t="e">
        <f>AND(List1!G28,"AAAAAH/5XcE=")</f>
        <v>#VALUE!</v>
      </c>
      <c r="GM5" t="e">
        <f>AND(List1!H28,"AAAAAH/5XcI=")</f>
        <v>#VALUE!</v>
      </c>
      <c r="GN5" t="e">
        <f>AND(List1!I28,"AAAAAH/5XcM=")</f>
        <v>#VALUE!</v>
      </c>
      <c r="GO5" t="e">
        <f>AND(List1!J28,"AAAAAH/5XcQ=")</f>
        <v>#VALUE!</v>
      </c>
      <c r="GP5" t="e">
        <f>AND(List1!K28,"AAAAAH/5XcU=")</f>
        <v>#VALUE!</v>
      </c>
      <c r="GQ5" t="e">
        <f>AND(List1!L28,"AAAAAH/5XcY=")</f>
        <v>#VALUE!</v>
      </c>
      <c r="GR5" t="e">
        <f>AND(List1!M28,"AAAAAH/5Xcc=")</f>
        <v>#VALUE!</v>
      </c>
      <c r="GS5" t="e">
        <f>AND(List1!N28,"AAAAAH/5Xcg=")</f>
        <v>#VALUE!</v>
      </c>
      <c r="GT5" t="e">
        <f>AND(List1!O28,"AAAAAH/5Xck=")</f>
        <v>#VALUE!</v>
      </c>
      <c r="GU5" t="e">
        <f>AND(List1!P28,"AAAAAH/5Xco=")</f>
        <v>#VALUE!</v>
      </c>
      <c r="GV5" t="e">
        <f>AND(List1!Q28,"AAAAAH/5Xcs=")</f>
        <v>#VALUE!</v>
      </c>
      <c r="GW5" t="e">
        <f>AND(List1!R28,"AAAAAH/5Xcw=")</f>
        <v>#VALUE!</v>
      </c>
      <c r="GX5" t="e">
        <f>AND(List1!S28,"AAAAAH/5Xc0=")</f>
        <v>#VALUE!</v>
      </c>
      <c r="GY5" t="e">
        <f>AND(List1!T28,"AAAAAH/5Xc4=")</f>
        <v>#VALUE!</v>
      </c>
      <c r="GZ5" t="e">
        <f>AND(List1!U28,"AAAAAH/5Xc8=")</f>
        <v>#VALUE!</v>
      </c>
      <c r="HA5" t="e">
        <f>AND(List1!V28,"AAAAAH/5XdA=")</f>
        <v>#VALUE!</v>
      </c>
      <c r="HB5" t="e">
        <f>AND(List1!W28,"AAAAAH/5XdE=")</f>
        <v>#VALUE!</v>
      </c>
      <c r="HC5" t="e">
        <f>AND(List1!X28,"AAAAAH/5XdI=")</f>
        <v>#VALUE!</v>
      </c>
      <c r="HD5" t="e">
        <f>AND(List1!Y28,"AAAAAH/5XdM=")</f>
        <v>#VALUE!</v>
      </c>
      <c r="HE5" t="e">
        <f>AND(List1!Z28,"AAAAAH/5XdQ=")</f>
        <v>#VALUE!</v>
      </c>
      <c r="HF5" t="e">
        <f>AND(List1!AA28,"AAAAAH/5XdU=")</f>
        <v>#VALUE!</v>
      </c>
      <c r="HG5" t="e">
        <f>AND(List1!AB28,"AAAAAH/5XdY=")</f>
        <v>#VALUE!</v>
      </c>
      <c r="HH5" t="e">
        <f>AND(List1!AC28,"AAAAAH/5Xdc=")</f>
        <v>#VALUE!</v>
      </c>
      <c r="HI5" t="e">
        <f>AND(List1!B29,"AAAAAH/5Xdg=")</f>
        <v>#VALUE!</v>
      </c>
      <c r="HJ5" t="e">
        <f>AND(List1!C29,"AAAAAH/5Xdk=")</f>
        <v>#VALUE!</v>
      </c>
      <c r="HK5" t="e">
        <f>AND(List1!D29,"AAAAAH/5Xdo=")</f>
        <v>#VALUE!</v>
      </c>
      <c r="HL5" t="e">
        <f>AND(List1!E29,"AAAAAH/5Xds=")</f>
        <v>#VALUE!</v>
      </c>
      <c r="HM5" t="e">
        <f>AND(List1!F29,"AAAAAH/5Xdw=")</f>
        <v>#VALUE!</v>
      </c>
      <c r="HN5" t="e">
        <f>AND(List1!G29,"AAAAAH/5Xd0=")</f>
        <v>#VALUE!</v>
      </c>
      <c r="HO5" t="e">
        <f>AND(List1!H29,"AAAAAH/5Xd4=")</f>
        <v>#VALUE!</v>
      </c>
      <c r="HP5" t="e">
        <f>AND(List1!I29,"AAAAAH/5Xd8=")</f>
        <v>#VALUE!</v>
      </c>
      <c r="HQ5" t="e">
        <f>AND(List1!J29,"AAAAAH/5XeA=")</f>
        <v>#VALUE!</v>
      </c>
      <c r="HR5" t="e">
        <f>AND(List1!K29,"AAAAAH/5XeE=")</f>
        <v>#VALUE!</v>
      </c>
      <c r="HS5" t="e">
        <f>AND(List1!L29,"AAAAAH/5XeI=")</f>
        <v>#VALUE!</v>
      </c>
      <c r="HT5" t="e">
        <f>AND(List1!M29,"AAAAAH/5XeM=")</f>
        <v>#VALUE!</v>
      </c>
      <c r="HU5" t="e">
        <f>AND(List1!N29,"AAAAAH/5XeQ=")</f>
        <v>#VALUE!</v>
      </c>
      <c r="HV5" t="e">
        <f>AND(List1!O29,"AAAAAH/5XeU=")</f>
        <v>#VALUE!</v>
      </c>
      <c r="HW5" t="e">
        <f>AND(List1!P29,"AAAAAH/5XeY=")</f>
        <v>#VALUE!</v>
      </c>
      <c r="HX5" t="e">
        <f>AND(List1!Q29,"AAAAAH/5Xec=")</f>
        <v>#VALUE!</v>
      </c>
      <c r="HY5" t="e">
        <f>AND(List1!R29,"AAAAAH/5Xeg=")</f>
        <v>#VALUE!</v>
      </c>
      <c r="HZ5" t="e">
        <f>AND(List1!S29,"AAAAAH/5Xek=")</f>
        <v>#VALUE!</v>
      </c>
      <c r="IA5" t="e">
        <f>AND(List1!T29,"AAAAAH/5Xeo=")</f>
        <v>#VALUE!</v>
      </c>
      <c r="IB5" t="e">
        <f>AND(List1!U29,"AAAAAH/5Xes=")</f>
        <v>#VALUE!</v>
      </c>
      <c r="IC5" t="e">
        <f>AND(List1!V29,"AAAAAH/5Xew=")</f>
        <v>#VALUE!</v>
      </c>
      <c r="ID5" t="e">
        <f>AND(List1!W29,"AAAAAH/5Xe0=")</f>
        <v>#VALUE!</v>
      </c>
      <c r="IE5" t="e">
        <f>AND(List1!X29,"AAAAAH/5Xe4=")</f>
        <v>#VALUE!</v>
      </c>
      <c r="IF5" t="e">
        <f>AND(List1!Y29,"AAAAAH/5Xe8=")</f>
        <v>#VALUE!</v>
      </c>
      <c r="IG5" t="e">
        <f>AND(List1!Z29,"AAAAAH/5XfA=")</f>
        <v>#VALUE!</v>
      </c>
      <c r="IH5" t="e">
        <f>AND(List1!AA29,"AAAAAH/5XfE=")</f>
        <v>#VALUE!</v>
      </c>
      <c r="II5" t="e">
        <f>AND(List1!AB29,"AAAAAH/5XfI=")</f>
        <v>#VALUE!</v>
      </c>
      <c r="IJ5" t="e">
        <f>AND(List1!AC29,"AAAAAH/5XfM=")</f>
        <v>#VALUE!</v>
      </c>
      <c r="IK5" t="e">
        <f>AND(List1!B30,"AAAAAH/5XfQ=")</f>
        <v>#VALUE!</v>
      </c>
      <c r="IL5" t="e">
        <f>AND(List1!C30,"AAAAAH/5XfU=")</f>
        <v>#VALUE!</v>
      </c>
      <c r="IM5" t="e">
        <f>AND(List1!D30,"AAAAAH/5XfY=")</f>
        <v>#VALUE!</v>
      </c>
      <c r="IN5" t="e">
        <f>AND(List1!E30,"AAAAAH/5Xfc=")</f>
        <v>#VALUE!</v>
      </c>
      <c r="IO5" t="e">
        <f>AND(List1!F30,"AAAAAH/5Xfg=")</f>
        <v>#VALUE!</v>
      </c>
      <c r="IP5" t="e">
        <f>AND(List1!G30,"AAAAAH/5Xfk=")</f>
        <v>#VALUE!</v>
      </c>
      <c r="IQ5" t="e">
        <f>AND(List1!H30,"AAAAAH/5Xfo=")</f>
        <v>#VALUE!</v>
      </c>
      <c r="IR5" t="e">
        <f>AND(List1!I30,"AAAAAH/5Xfs=")</f>
        <v>#VALUE!</v>
      </c>
      <c r="IS5" t="e">
        <f>AND(List1!J30,"AAAAAH/5Xfw=")</f>
        <v>#VALUE!</v>
      </c>
      <c r="IT5" t="e">
        <f>AND(List1!K30,"AAAAAH/5Xf0=")</f>
        <v>#VALUE!</v>
      </c>
      <c r="IU5" t="e">
        <f>AND(List1!L30,"AAAAAH/5Xf4=")</f>
        <v>#VALUE!</v>
      </c>
      <c r="IV5" t="e">
        <f>AND(List1!M30,"AAAAAH/5Xf8=")</f>
        <v>#VALUE!</v>
      </c>
    </row>
    <row r="6" spans="1:256" x14ac:dyDescent="0.25">
      <c r="A6" t="e">
        <f>AND(List1!N30,"AAAAAH+e+gA=")</f>
        <v>#VALUE!</v>
      </c>
      <c r="B6" t="e">
        <f>AND(List1!O30,"AAAAAH+e+gE=")</f>
        <v>#VALUE!</v>
      </c>
      <c r="C6" t="e">
        <f>AND(List1!P30,"AAAAAH+e+gI=")</f>
        <v>#VALUE!</v>
      </c>
      <c r="D6" t="e">
        <f>AND(List1!Q30,"AAAAAH+e+gM=")</f>
        <v>#VALUE!</v>
      </c>
      <c r="E6" t="e">
        <f>AND(List1!R30,"AAAAAH+e+gQ=")</f>
        <v>#VALUE!</v>
      </c>
      <c r="F6" t="e">
        <f>AND(List1!S30,"AAAAAH+e+gU=")</f>
        <v>#VALUE!</v>
      </c>
      <c r="G6" t="e">
        <f>AND(List1!T30,"AAAAAH+e+gY=")</f>
        <v>#VALUE!</v>
      </c>
      <c r="H6" t="e">
        <f>AND(List1!U30,"AAAAAH+e+gc=")</f>
        <v>#VALUE!</v>
      </c>
      <c r="I6" t="e">
        <f>AND(List1!V30,"AAAAAH+e+gg=")</f>
        <v>#VALUE!</v>
      </c>
      <c r="J6" t="e">
        <f>AND(List1!W30,"AAAAAH+e+gk=")</f>
        <v>#VALUE!</v>
      </c>
      <c r="K6" t="e">
        <f>AND(List1!X30,"AAAAAH+e+go=")</f>
        <v>#VALUE!</v>
      </c>
      <c r="L6" t="e">
        <f>AND(List1!Y30,"AAAAAH+e+gs=")</f>
        <v>#VALUE!</v>
      </c>
      <c r="M6" t="e">
        <f>AND(List1!Z30,"AAAAAH+e+gw=")</f>
        <v>#VALUE!</v>
      </c>
      <c r="N6" t="e">
        <f>AND(List1!AA30,"AAAAAH+e+g0=")</f>
        <v>#VALUE!</v>
      </c>
      <c r="O6" t="e">
        <f>AND(List1!AB30,"AAAAAH+e+g4=")</f>
        <v>#VALUE!</v>
      </c>
      <c r="P6" t="e">
        <f>AND(List1!AC30,"AAAAAH+e+g8=")</f>
        <v>#VALUE!</v>
      </c>
      <c r="Q6" t="e">
        <f>AND(List1!B31,"AAAAAH+e+hA=")</f>
        <v>#VALUE!</v>
      </c>
      <c r="R6" t="e">
        <f>AND(List1!C31,"AAAAAH+e+hE=")</f>
        <v>#VALUE!</v>
      </c>
      <c r="S6" t="e">
        <f>AND(List1!D31,"AAAAAH+e+hI=")</f>
        <v>#VALUE!</v>
      </c>
      <c r="T6" t="e">
        <f>AND(List1!E31,"AAAAAH+e+hM=")</f>
        <v>#VALUE!</v>
      </c>
      <c r="U6" t="e">
        <f>AND(List1!F31,"AAAAAH+e+hQ=")</f>
        <v>#VALUE!</v>
      </c>
      <c r="V6" t="e">
        <f>AND(List1!G31,"AAAAAH+e+hU=")</f>
        <v>#VALUE!</v>
      </c>
      <c r="W6" t="e">
        <f>AND(List1!H31,"AAAAAH+e+hY=")</f>
        <v>#VALUE!</v>
      </c>
      <c r="X6" t="e">
        <f>AND(List1!I31,"AAAAAH+e+hc=")</f>
        <v>#VALUE!</v>
      </c>
      <c r="Y6" t="e">
        <f>AND(List1!J31,"AAAAAH+e+hg=")</f>
        <v>#VALUE!</v>
      </c>
      <c r="Z6" t="e">
        <f>AND(List1!K31,"AAAAAH+e+hk=")</f>
        <v>#VALUE!</v>
      </c>
      <c r="AA6" t="e">
        <f>AND(List1!L31,"AAAAAH+e+ho=")</f>
        <v>#VALUE!</v>
      </c>
      <c r="AB6" t="e">
        <f>AND(List1!M31,"AAAAAH+e+hs=")</f>
        <v>#VALUE!</v>
      </c>
      <c r="AC6" t="e">
        <f>AND(List1!N31,"AAAAAH+e+hw=")</f>
        <v>#VALUE!</v>
      </c>
      <c r="AD6" t="e">
        <f>AND(List1!O31,"AAAAAH+e+h0=")</f>
        <v>#VALUE!</v>
      </c>
      <c r="AE6" t="e">
        <f>AND(List1!P31,"AAAAAH+e+h4=")</f>
        <v>#VALUE!</v>
      </c>
      <c r="AF6" t="e">
        <f>AND(List1!Q31,"AAAAAH+e+h8=")</f>
        <v>#VALUE!</v>
      </c>
      <c r="AG6" t="e">
        <f>AND(List1!R31,"AAAAAH+e+iA=")</f>
        <v>#VALUE!</v>
      </c>
      <c r="AH6" t="e">
        <f>AND(List1!S31,"AAAAAH+e+iE=")</f>
        <v>#VALUE!</v>
      </c>
      <c r="AI6" t="e">
        <f>AND(List1!T31,"AAAAAH+e+iI=")</f>
        <v>#VALUE!</v>
      </c>
      <c r="AJ6" t="e">
        <f>AND(List1!U31,"AAAAAH+e+iM=")</f>
        <v>#VALUE!</v>
      </c>
      <c r="AK6" t="e">
        <f>AND(List1!V31,"AAAAAH+e+iQ=")</f>
        <v>#VALUE!</v>
      </c>
      <c r="AL6" t="e">
        <f>AND(List1!W31,"AAAAAH+e+iU=")</f>
        <v>#VALUE!</v>
      </c>
      <c r="AM6" t="e">
        <f>AND(List1!X31,"AAAAAH+e+iY=")</f>
        <v>#VALUE!</v>
      </c>
      <c r="AN6" t="e">
        <f>AND(List1!Y31,"AAAAAH+e+ic=")</f>
        <v>#VALUE!</v>
      </c>
      <c r="AO6" t="e">
        <f>AND(List1!Z31,"AAAAAH+e+ig=")</f>
        <v>#VALUE!</v>
      </c>
      <c r="AP6" t="e">
        <f>AND(List1!AA31,"AAAAAH+e+ik=")</f>
        <v>#VALUE!</v>
      </c>
      <c r="AQ6" t="e">
        <f>AND(List1!AB31,"AAAAAH+e+io=")</f>
        <v>#VALUE!</v>
      </c>
      <c r="AR6" t="e">
        <f>AND(List1!AC31,"AAAAAH+e+is=")</f>
        <v>#VALUE!</v>
      </c>
      <c r="AS6" t="e">
        <f>AND(List1!B32,"AAAAAH+e+iw=")</f>
        <v>#VALUE!</v>
      </c>
      <c r="AT6" t="e">
        <f>AND(List1!C32,"AAAAAH+e+i0=")</f>
        <v>#VALUE!</v>
      </c>
      <c r="AU6" t="e">
        <f>AND(List1!D32,"AAAAAH+e+i4=")</f>
        <v>#VALUE!</v>
      </c>
      <c r="AV6" t="e">
        <f>AND(List1!E32,"AAAAAH+e+i8=")</f>
        <v>#VALUE!</v>
      </c>
      <c r="AW6" t="e">
        <f>AND(List1!F32,"AAAAAH+e+jA=")</f>
        <v>#VALUE!</v>
      </c>
      <c r="AX6" t="e">
        <f>AND(List1!G32,"AAAAAH+e+jE=")</f>
        <v>#VALUE!</v>
      </c>
      <c r="AY6" t="e">
        <f>AND(List1!H32,"AAAAAH+e+jI=")</f>
        <v>#VALUE!</v>
      </c>
      <c r="AZ6" t="e">
        <f>AND(List1!I32,"AAAAAH+e+jM=")</f>
        <v>#VALUE!</v>
      </c>
      <c r="BA6" t="e">
        <f>AND(List1!J32,"AAAAAH+e+jQ=")</f>
        <v>#VALUE!</v>
      </c>
      <c r="BB6" t="e">
        <f>AND(List1!K32,"AAAAAH+e+jU=")</f>
        <v>#VALUE!</v>
      </c>
      <c r="BC6" t="e">
        <f>AND(List1!L32,"AAAAAH+e+jY=")</f>
        <v>#VALUE!</v>
      </c>
      <c r="BD6" t="e">
        <f>AND(List1!M32,"AAAAAH+e+jc=")</f>
        <v>#VALUE!</v>
      </c>
      <c r="BE6" t="e">
        <f>AND(List1!N32,"AAAAAH+e+jg=")</f>
        <v>#VALUE!</v>
      </c>
      <c r="BF6" t="e">
        <f>AND(List1!O32,"AAAAAH+e+jk=")</f>
        <v>#VALUE!</v>
      </c>
      <c r="BG6" t="e">
        <f>AND(List1!P32,"AAAAAH+e+jo=")</f>
        <v>#VALUE!</v>
      </c>
      <c r="BH6" t="e">
        <f>AND(List1!Q32,"AAAAAH+e+js=")</f>
        <v>#VALUE!</v>
      </c>
      <c r="BI6" t="e">
        <f>AND(List1!R32,"AAAAAH+e+jw=")</f>
        <v>#VALUE!</v>
      </c>
      <c r="BJ6" t="e">
        <f>AND(List1!S32,"AAAAAH+e+j0=")</f>
        <v>#VALUE!</v>
      </c>
      <c r="BK6" t="e">
        <f>AND(List1!T32,"AAAAAH+e+j4=")</f>
        <v>#VALUE!</v>
      </c>
      <c r="BL6" t="e">
        <f>AND(List1!U32,"AAAAAH+e+j8=")</f>
        <v>#VALUE!</v>
      </c>
      <c r="BM6" t="e">
        <f>AND(List1!V32,"AAAAAH+e+kA=")</f>
        <v>#VALUE!</v>
      </c>
      <c r="BN6" t="e">
        <f>AND(List1!W32,"AAAAAH+e+kE=")</f>
        <v>#VALUE!</v>
      </c>
      <c r="BO6" t="e">
        <f>AND(List1!X32,"AAAAAH+e+kI=")</f>
        <v>#VALUE!</v>
      </c>
      <c r="BP6" t="e">
        <f>AND(List1!Y32,"AAAAAH+e+kM=")</f>
        <v>#VALUE!</v>
      </c>
      <c r="BQ6" t="e">
        <f>AND(List1!Z32,"AAAAAH+e+kQ=")</f>
        <v>#VALUE!</v>
      </c>
      <c r="BR6" t="e">
        <f>AND(List1!AA32,"AAAAAH+e+kU=")</f>
        <v>#VALUE!</v>
      </c>
      <c r="BS6" t="e">
        <f>AND(List1!AB32,"AAAAAH+e+kY=")</f>
        <v>#VALUE!</v>
      </c>
      <c r="BT6" t="e">
        <f>AND(List1!AC32,"AAAAAH+e+kc=")</f>
        <v>#VALUE!</v>
      </c>
      <c r="BU6" t="e">
        <f>AND(List1!B33,"AAAAAH+e+kg=")</f>
        <v>#VALUE!</v>
      </c>
      <c r="BV6" t="e">
        <f>AND(List1!C33,"AAAAAH+e+kk=")</f>
        <v>#VALUE!</v>
      </c>
      <c r="BW6" t="e">
        <f>AND(List1!D33,"AAAAAH+e+ko=")</f>
        <v>#VALUE!</v>
      </c>
      <c r="BX6" t="e">
        <f>AND(List1!E33,"AAAAAH+e+ks=")</f>
        <v>#VALUE!</v>
      </c>
      <c r="BY6" t="e">
        <f>AND(List1!F33,"AAAAAH+e+kw=")</f>
        <v>#VALUE!</v>
      </c>
      <c r="BZ6" t="e">
        <f>AND(List1!G33,"AAAAAH+e+k0=")</f>
        <v>#VALUE!</v>
      </c>
      <c r="CA6" t="e">
        <f>AND(List1!H33,"AAAAAH+e+k4=")</f>
        <v>#VALUE!</v>
      </c>
      <c r="CB6" t="e">
        <f>AND(List1!I33,"AAAAAH+e+k8=")</f>
        <v>#VALUE!</v>
      </c>
      <c r="CC6" t="e">
        <f>AND(List1!J33,"AAAAAH+e+lA=")</f>
        <v>#VALUE!</v>
      </c>
      <c r="CD6" t="e">
        <f>AND(List1!K33,"AAAAAH+e+lE=")</f>
        <v>#VALUE!</v>
      </c>
      <c r="CE6" t="e">
        <f>AND(List1!L33,"AAAAAH+e+lI=")</f>
        <v>#VALUE!</v>
      </c>
      <c r="CF6" t="e">
        <f>AND(List1!M33,"AAAAAH+e+lM=")</f>
        <v>#VALUE!</v>
      </c>
      <c r="CG6" t="e">
        <f>AND(List1!N33,"AAAAAH+e+lQ=")</f>
        <v>#VALUE!</v>
      </c>
      <c r="CH6" t="e">
        <f>AND(List1!O33,"AAAAAH+e+lU=")</f>
        <v>#VALUE!</v>
      </c>
      <c r="CI6" t="e">
        <f>AND(List1!P33,"AAAAAH+e+lY=")</f>
        <v>#VALUE!</v>
      </c>
      <c r="CJ6" t="e">
        <f>AND(List1!Q33,"AAAAAH+e+lc=")</f>
        <v>#VALUE!</v>
      </c>
      <c r="CK6" t="e">
        <f>AND(List1!R33,"AAAAAH+e+lg=")</f>
        <v>#VALUE!</v>
      </c>
      <c r="CL6" t="e">
        <f>AND(List1!S33,"AAAAAH+e+lk=")</f>
        <v>#VALUE!</v>
      </c>
      <c r="CM6" t="e">
        <f>AND(List1!T33,"AAAAAH+e+lo=")</f>
        <v>#VALUE!</v>
      </c>
      <c r="CN6" t="e">
        <f>AND(List1!U33,"AAAAAH+e+ls=")</f>
        <v>#VALUE!</v>
      </c>
      <c r="CO6" t="e">
        <f>AND(List1!V33,"AAAAAH+e+lw=")</f>
        <v>#VALUE!</v>
      </c>
      <c r="CP6" t="e">
        <f>AND(List1!W33,"AAAAAH+e+l0=")</f>
        <v>#VALUE!</v>
      </c>
      <c r="CQ6" t="e">
        <f>AND(List1!X33,"AAAAAH+e+l4=")</f>
        <v>#VALUE!</v>
      </c>
      <c r="CR6" t="e">
        <f>AND(List1!Y33,"AAAAAH+e+l8=")</f>
        <v>#VALUE!</v>
      </c>
      <c r="CS6" t="e">
        <f>AND(List1!Z33,"AAAAAH+e+mA=")</f>
        <v>#VALUE!</v>
      </c>
      <c r="CT6" t="e">
        <f>AND(List1!AA33,"AAAAAH+e+mE=")</f>
        <v>#VALUE!</v>
      </c>
      <c r="CU6" t="e">
        <f>AND(List1!AB33,"AAAAAH+e+mI=")</f>
        <v>#VALUE!</v>
      </c>
      <c r="CV6" t="e">
        <f>AND(List1!AC33,"AAAAAH+e+mM=")</f>
        <v>#VALUE!</v>
      </c>
      <c r="CW6" t="e">
        <f>AND(List1!B34,"AAAAAH+e+mQ=")</f>
        <v>#VALUE!</v>
      </c>
      <c r="CX6" t="e">
        <f>AND(List1!C34,"AAAAAH+e+mU=")</f>
        <v>#VALUE!</v>
      </c>
      <c r="CY6" t="e">
        <f>AND(List1!D34,"AAAAAH+e+mY=")</f>
        <v>#VALUE!</v>
      </c>
      <c r="CZ6" t="e">
        <f>AND(List1!E34,"AAAAAH+e+mc=")</f>
        <v>#VALUE!</v>
      </c>
      <c r="DA6" t="e">
        <f>AND(List1!F34,"AAAAAH+e+mg=")</f>
        <v>#VALUE!</v>
      </c>
      <c r="DB6" t="e">
        <f>AND(List1!G34,"AAAAAH+e+mk=")</f>
        <v>#VALUE!</v>
      </c>
      <c r="DC6" t="e">
        <f>AND(List1!H34,"AAAAAH+e+mo=")</f>
        <v>#VALUE!</v>
      </c>
      <c r="DD6" t="e">
        <f>AND(List1!I34,"AAAAAH+e+ms=")</f>
        <v>#VALUE!</v>
      </c>
      <c r="DE6" t="e">
        <f>AND(List1!J34,"AAAAAH+e+mw=")</f>
        <v>#VALUE!</v>
      </c>
      <c r="DF6" t="e">
        <f>AND(List1!K34,"AAAAAH+e+m0=")</f>
        <v>#VALUE!</v>
      </c>
      <c r="DG6" t="e">
        <f>AND(List1!L34,"AAAAAH+e+m4=")</f>
        <v>#VALUE!</v>
      </c>
      <c r="DH6" t="e">
        <f>AND(List1!M34,"AAAAAH+e+m8=")</f>
        <v>#VALUE!</v>
      </c>
      <c r="DI6" t="e">
        <f>AND(List1!N34,"AAAAAH+e+nA=")</f>
        <v>#VALUE!</v>
      </c>
      <c r="DJ6" t="e">
        <f>AND(List1!O34,"AAAAAH+e+nE=")</f>
        <v>#VALUE!</v>
      </c>
      <c r="DK6" t="e">
        <f>AND(List1!P34,"AAAAAH+e+nI=")</f>
        <v>#VALUE!</v>
      </c>
      <c r="DL6" t="e">
        <f>AND(List1!Q34,"AAAAAH+e+nM=")</f>
        <v>#VALUE!</v>
      </c>
      <c r="DM6" t="e">
        <f>AND(List1!R34,"AAAAAH+e+nQ=")</f>
        <v>#VALUE!</v>
      </c>
      <c r="DN6" t="e">
        <f>AND(List1!S34,"AAAAAH+e+nU=")</f>
        <v>#VALUE!</v>
      </c>
      <c r="DO6" t="e">
        <f>AND(List1!T34,"AAAAAH+e+nY=")</f>
        <v>#VALUE!</v>
      </c>
      <c r="DP6" t="e">
        <f>AND(List1!U34,"AAAAAH+e+nc=")</f>
        <v>#VALUE!</v>
      </c>
      <c r="DQ6" t="e">
        <f>AND(List1!V34,"AAAAAH+e+ng=")</f>
        <v>#VALUE!</v>
      </c>
      <c r="DR6" t="e">
        <f>AND(List1!W34,"AAAAAH+e+nk=")</f>
        <v>#VALUE!</v>
      </c>
      <c r="DS6" t="e">
        <f>AND(List1!X34,"AAAAAH+e+no=")</f>
        <v>#VALUE!</v>
      </c>
      <c r="DT6" t="e">
        <f>AND(List1!Y34,"AAAAAH+e+ns=")</f>
        <v>#VALUE!</v>
      </c>
      <c r="DU6" t="e">
        <f>AND(List1!Z34,"AAAAAH+e+nw=")</f>
        <v>#VALUE!</v>
      </c>
      <c r="DV6" t="e">
        <f>AND(List1!AA34,"AAAAAH+e+n0=")</f>
        <v>#VALUE!</v>
      </c>
      <c r="DW6" t="e">
        <f>AND(List1!AB34,"AAAAAH+e+n4=")</f>
        <v>#VALUE!</v>
      </c>
      <c r="DX6" t="e">
        <f>AND(List1!AC34,"AAAAAH+e+n8=")</f>
        <v>#VALUE!</v>
      </c>
      <c r="DY6" t="e">
        <f>AND(List1!B35,"AAAAAH+e+oA=")</f>
        <v>#VALUE!</v>
      </c>
      <c r="DZ6" t="e">
        <f>AND(List1!C35,"AAAAAH+e+oE=")</f>
        <v>#VALUE!</v>
      </c>
      <c r="EA6" t="e">
        <f>AND(List1!D35,"AAAAAH+e+oI=")</f>
        <v>#VALUE!</v>
      </c>
      <c r="EB6" t="e">
        <f>AND(List1!E35,"AAAAAH+e+oM=")</f>
        <v>#VALUE!</v>
      </c>
      <c r="EC6" t="e">
        <f>AND(List1!F35,"AAAAAH+e+oQ=")</f>
        <v>#VALUE!</v>
      </c>
      <c r="ED6" t="e">
        <f>AND(List1!G35,"AAAAAH+e+oU=")</f>
        <v>#VALUE!</v>
      </c>
      <c r="EE6" t="e">
        <f>AND(List1!H35,"AAAAAH+e+oY=")</f>
        <v>#VALUE!</v>
      </c>
      <c r="EF6" t="e">
        <f>AND(List1!I35,"AAAAAH+e+oc=")</f>
        <v>#VALUE!</v>
      </c>
      <c r="EG6" t="e">
        <f>AND(List1!J35,"AAAAAH+e+og=")</f>
        <v>#VALUE!</v>
      </c>
      <c r="EH6" t="e">
        <f>AND(List1!K35,"AAAAAH+e+ok=")</f>
        <v>#VALUE!</v>
      </c>
      <c r="EI6" t="e">
        <f>AND(List1!L35,"AAAAAH+e+oo=")</f>
        <v>#VALUE!</v>
      </c>
      <c r="EJ6" t="e">
        <f>AND(List1!M35,"AAAAAH+e+os=")</f>
        <v>#VALUE!</v>
      </c>
      <c r="EK6" t="e">
        <f>AND(List1!N35,"AAAAAH+e+ow=")</f>
        <v>#VALUE!</v>
      </c>
      <c r="EL6" t="e">
        <f>AND(List1!O35,"AAAAAH+e+o0=")</f>
        <v>#VALUE!</v>
      </c>
      <c r="EM6" t="e">
        <f>AND(List1!P35,"AAAAAH+e+o4=")</f>
        <v>#VALUE!</v>
      </c>
      <c r="EN6" t="e">
        <f>AND(List1!Q35,"AAAAAH+e+o8=")</f>
        <v>#VALUE!</v>
      </c>
      <c r="EO6" t="e">
        <f>AND(List1!R35,"AAAAAH+e+pA=")</f>
        <v>#VALUE!</v>
      </c>
      <c r="EP6" t="e">
        <f>AND(List1!S35,"AAAAAH+e+pE=")</f>
        <v>#VALUE!</v>
      </c>
      <c r="EQ6" t="e">
        <f>AND(List1!T35,"AAAAAH+e+pI=")</f>
        <v>#VALUE!</v>
      </c>
      <c r="ER6" t="e">
        <f>AND(List1!U35,"AAAAAH+e+pM=")</f>
        <v>#VALUE!</v>
      </c>
      <c r="ES6" t="e">
        <f>AND(List1!V35,"AAAAAH+e+pQ=")</f>
        <v>#VALUE!</v>
      </c>
      <c r="ET6" t="e">
        <f>AND(List1!W35,"AAAAAH+e+pU=")</f>
        <v>#VALUE!</v>
      </c>
      <c r="EU6" t="e">
        <f>AND(List1!X35,"AAAAAH+e+pY=")</f>
        <v>#VALUE!</v>
      </c>
      <c r="EV6" t="e">
        <f>AND(List1!Y35,"AAAAAH+e+pc=")</f>
        <v>#VALUE!</v>
      </c>
      <c r="EW6" t="e">
        <f>AND(List1!Z35,"AAAAAH+e+pg=")</f>
        <v>#VALUE!</v>
      </c>
      <c r="EX6" t="e">
        <f>AND(List1!AA35,"AAAAAH+e+pk=")</f>
        <v>#VALUE!</v>
      </c>
      <c r="EY6" t="e">
        <f>AND(List1!AB35,"AAAAAH+e+po=")</f>
        <v>#VALUE!</v>
      </c>
      <c r="EZ6" t="e">
        <f>AND(List1!AC35,"AAAAAH+e+ps=")</f>
        <v>#VALUE!</v>
      </c>
      <c r="FA6" t="e">
        <f>AND(List1!B36,"AAAAAH+e+pw=")</f>
        <v>#VALUE!</v>
      </c>
      <c r="FB6" t="e">
        <f>AND(List1!C36,"AAAAAH+e+p0=")</f>
        <v>#VALUE!</v>
      </c>
      <c r="FC6" t="e">
        <f>AND(List1!D36,"AAAAAH+e+p4=")</f>
        <v>#VALUE!</v>
      </c>
      <c r="FD6" t="e">
        <f>AND(List1!E36,"AAAAAH+e+p8=")</f>
        <v>#VALUE!</v>
      </c>
      <c r="FE6" t="e">
        <f>AND(List1!F36,"AAAAAH+e+qA=")</f>
        <v>#VALUE!</v>
      </c>
      <c r="FF6" t="e">
        <f>AND(List1!G36,"AAAAAH+e+qE=")</f>
        <v>#VALUE!</v>
      </c>
      <c r="FG6" t="e">
        <f>AND(List1!H36,"AAAAAH+e+qI=")</f>
        <v>#VALUE!</v>
      </c>
      <c r="FH6" t="e">
        <f>AND(List1!I36,"AAAAAH+e+qM=")</f>
        <v>#VALUE!</v>
      </c>
      <c r="FI6" t="e">
        <f>AND(List1!J36,"AAAAAH+e+qQ=")</f>
        <v>#VALUE!</v>
      </c>
      <c r="FJ6" t="e">
        <f>AND(List1!K36,"AAAAAH+e+qU=")</f>
        <v>#VALUE!</v>
      </c>
      <c r="FK6" t="e">
        <f>AND(List1!L36,"AAAAAH+e+qY=")</f>
        <v>#VALUE!</v>
      </c>
      <c r="FL6" t="e">
        <f>AND(List1!M36,"AAAAAH+e+qc=")</f>
        <v>#VALUE!</v>
      </c>
      <c r="FM6" t="e">
        <f>AND(List1!N36,"AAAAAH+e+qg=")</f>
        <v>#VALUE!</v>
      </c>
      <c r="FN6" t="e">
        <f>AND(List1!O36,"AAAAAH+e+qk=")</f>
        <v>#VALUE!</v>
      </c>
      <c r="FO6" t="e">
        <f>AND(List1!P36,"AAAAAH+e+qo=")</f>
        <v>#VALUE!</v>
      </c>
      <c r="FP6" t="e">
        <f>AND(List1!Q36,"AAAAAH+e+qs=")</f>
        <v>#VALUE!</v>
      </c>
      <c r="FQ6" t="e">
        <f>AND(List1!R36,"AAAAAH+e+qw=")</f>
        <v>#VALUE!</v>
      </c>
      <c r="FR6" t="e">
        <f>AND(List1!S36,"AAAAAH+e+q0=")</f>
        <v>#VALUE!</v>
      </c>
      <c r="FS6" t="e">
        <f>AND(List1!T36,"AAAAAH+e+q4=")</f>
        <v>#VALUE!</v>
      </c>
      <c r="FT6" t="e">
        <f>AND(List1!U36,"AAAAAH+e+q8=")</f>
        <v>#VALUE!</v>
      </c>
      <c r="FU6" t="e">
        <f>AND(List1!V36,"AAAAAH+e+rA=")</f>
        <v>#VALUE!</v>
      </c>
      <c r="FV6" t="e">
        <f>AND(List1!W36,"AAAAAH+e+rE=")</f>
        <v>#VALUE!</v>
      </c>
      <c r="FW6" t="e">
        <f>AND(List1!X36,"AAAAAH+e+rI=")</f>
        <v>#VALUE!</v>
      </c>
      <c r="FX6" t="e">
        <f>AND(List1!Y36,"AAAAAH+e+rM=")</f>
        <v>#VALUE!</v>
      </c>
      <c r="FY6" t="e">
        <f>AND(List1!Z36,"AAAAAH+e+rQ=")</f>
        <v>#VALUE!</v>
      </c>
      <c r="FZ6" t="e">
        <f>AND(List1!AA36,"AAAAAH+e+rU=")</f>
        <v>#VALUE!</v>
      </c>
      <c r="GA6" t="e">
        <f>AND(List1!AB36,"AAAAAH+e+rY=")</f>
        <v>#VALUE!</v>
      </c>
      <c r="GB6" t="e">
        <f>AND(List1!AC36,"AAAAAH+e+rc=")</f>
        <v>#VALUE!</v>
      </c>
      <c r="GC6" t="e">
        <f>AND(List1!B37,"AAAAAH+e+rg=")</f>
        <v>#VALUE!</v>
      </c>
      <c r="GD6" t="e">
        <f>AND(List1!C37,"AAAAAH+e+rk=")</f>
        <v>#VALUE!</v>
      </c>
      <c r="GE6" t="e">
        <f>AND(List1!D37,"AAAAAH+e+ro=")</f>
        <v>#VALUE!</v>
      </c>
      <c r="GF6" t="e">
        <f>AND(List1!E37,"AAAAAH+e+rs=")</f>
        <v>#VALUE!</v>
      </c>
      <c r="GG6" t="e">
        <f>AND(List1!F37,"AAAAAH+e+rw=")</f>
        <v>#VALUE!</v>
      </c>
      <c r="GH6" t="e">
        <f>AND(List1!G37,"AAAAAH+e+r0=")</f>
        <v>#VALUE!</v>
      </c>
      <c r="GI6" t="e">
        <f>AND(List1!H37,"AAAAAH+e+r4=")</f>
        <v>#VALUE!</v>
      </c>
      <c r="GJ6" t="e">
        <f>AND(List1!I37,"AAAAAH+e+r8=")</f>
        <v>#VALUE!</v>
      </c>
      <c r="GK6" t="e">
        <f>AND(List1!J37,"AAAAAH+e+sA=")</f>
        <v>#VALUE!</v>
      </c>
      <c r="GL6" t="e">
        <f>AND(List1!K37,"AAAAAH+e+sE=")</f>
        <v>#VALUE!</v>
      </c>
      <c r="GM6" t="e">
        <f>AND(List1!L37,"AAAAAH+e+sI=")</f>
        <v>#VALUE!</v>
      </c>
      <c r="GN6" t="e">
        <f>AND(List1!M37,"AAAAAH+e+sM=")</f>
        <v>#VALUE!</v>
      </c>
      <c r="GO6" t="e">
        <f>AND(List1!N37,"AAAAAH+e+sQ=")</f>
        <v>#VALUE!</v>
      </c>
      <c r="GP6" t="e">
        <f>AND(List1!O37,"AAAAAH+e+sU=")</f>
        <v>#VALUE!</v>
      </c>
      <c r="GQ6" t="e">
        <f>AND(List1!P37,"AAAAAH+e+sY=")</f>
        <v>#VALUE!</v>
      </c>
      <c r="GR6" t="e">
        <f>AND(List1!Q37,"AAAAAH+e+sc=")</f>
        <v>#VALUE!</v>
      </c>
      <c r="GS6" t="e">
        <f>AND(List1!R37,"AAAAAH+e+sg=")</f>
        <v>#VALUE!</v>
      </c>
      <c r="GT6" t="e">
        <f>AND(List1!S37,"AAAAAH+e+sk=")</f>
        <v>#VALUE!</v>
      </c>
      <c r="GU6" t="e">
        <f>AND(List1!T37,"AAAAAH+e+so=")</f>
        <v>#VALUE!</v>
      </c>
      <c r="GV6" t="e">
        <f>AND(List1!U37,"AAAAAH+e+ss=")</f>
        <v>#VALUE!</v>
      </c>
      <c r="GW6" t="e">
        <f>AND(List1!V37,"AAAAAH+e+sw=")</f>
        <v>#VALUE!</v>
      </c>
      <c r="GX6" t="e">
        <f>AND(List1!W37,"AAAAAH+e+s0=")</f>
        <v>#VALUE!</v>
      </c>
      <c r="GY6" t="e">
        <f>AND(List1!X37,"AAAAAH+e+s4=")</f>
        <v>#VALUE!</v>
      </c>
      <c r="GZ6" t="e">
        <f>AND(List1!Y37,"AAAAAH+e+s8=")</f>
        <v>#VALUE!</v>
      </c>
      <c r="HA6" t="e">
        <f>AND(List1!Z37,"AAAAAH+e+tA=")</f>
        <v>#VALUE!</v>
      </c>
      <c r="HB6" t="e">
        <f>AND(List1!AA37,"AAAAAH+e+tE=")</f>
        <v>#VALUE!</v>
      </c>
      <c r="HC6" t="e">
        <f>AND(List1!AB37,"AAAAAH+e+tI=")</f>
        <v>#VALUE!</v>
      </c>
      <c r="HD6" t="e">
        <f>AND(List1!AC37,"AAAAAH+e+tM=")</f>
        <v>#VALUE!</v>
      </c>
      <c r="HE6" t="e">
        <f>AND(List1!B38,"AAAAAH+e+tQ=")</f>
        <v>#VALUE!</v>
      </c>
      <c r="HF6" t="e">
        <f>AND(List1!C38,"AAAAAH+e+tU=")</f>
        <v>#VALUE!</v>
      </c>
      <c r="HG6" t="e">
        <f>AND(List1!D38,"AAAAAH+e+tY=")</f>
        <v>#VALUE!</v>
      </c>
      <c r="HH6" t="e">
        <f>AND(List1!E38,"AAAAAH+e+tc=")</f>
        <v>#VALUE!</v>
      </c>
      <c r="HI6" t="e">
        <f>AND(List1!F38,"AAAAAH+e+tg=")</f>
        <v>#VALUE!</v>
      </c>
      <c r="HJ6" t="e">
        <f>AND(List1!G38,"AAAAAH+e+tk=")</f>
        <v>#VALUE!</v>
      </c>
      <c r="HK6" t="e">
        <f>AND(List1!H38,"AAAAAH+e+to=")</f>
        <v>#VALUE!</v>
      </c>
      <c r="HL6" t="e">
        <f>AND(List1!I38,"AAAAAH+e+ts=")</f>
        <v>#VALUE!</v>
      </c>
      <c r="HM6" t="e">
        <f>AND(List1!J38,"AAAAAH+e+tw=")</f>
        <v>#VALUE!</v>
      </c>
      <c r="HN6" t="e">
        <f>AND(List1!K38,"AAAAAH+e+t0=")</f>
        <v>#VALUE!</v>
      </c>
      <c r="HO6" t="e">
        <f>AND(List1!L38,"AAAAAH+e+t4=")</f>
        <v>#VALUE!</v>
      </c>
      <c r="HP6" t="e">
        <f>AND(List1!M38,"AAAAAH+e+t8=")</f>
        <v>#VALUE!</v>
      </c>
      <c r="HQ6" t="e">
        <f>AND(List1!N38,"AAAAAH+e+uA=")</f>
        <v>#VALUE!</v>
      </c>
      <c r="HR6" t="e">
        <f>AND(List1!O38,"AAAAAH+e+uE=")</f>
        <v>#VALUE!</v>
      </c>
      <c r="HS6" t="e">
        <f>AND(List1!P38,"AAAAAH+e+uI=")</f>
        <v>#VALUE!</v>
      </c>
      <c r="HT6" t="e">
        <f>AND(List1!Q38,"AAAAAH+e+uM=")</f>
        <v>#VALUE!</v>
      </c>
      <c r="HU6" t="e">
        <f>AND(List1!R38,"AAAAAH+e+uQ=")</f>
        <v>#VALUE!</v>
      </c>
      <c r="HV6" t="e">
        <f>AND(List1!S38,"AAAAAH+e+uU=")</f>
        <v>#VALUE!</v>
      </c>
      <c r="HW6" t="e">
        <f>AND(List1!T38,"AAAAAH+e+uY=")</f>
        <v>#VALUE!</v>
      </c>
      <c r="HX6" t="e">
        <f>AND(List1!U38,"AAAAAH+e+uc=")</f>
        <v>#VALUE!</v>
      </c>
      <c r="HY6" t="e">
        <f>AND(List1!V38,"AAAAAH+e+ug=")</f>
        <v>#VALUE!</v>
      </c>
      <c r="HZ6" t="e">
        <f>AND(List1!W38,"AAAAAH+e+uk=")</f>
        <v>#VALUE!</v>
      </c>
      <c r="IA6" t="e">
        <f>AND(List1!X38,"AAAAAH+e+uo=")</f>
        <v>#VALUE!</v>
      </c>
      <c r="IB6" t="e">
        <f>AND(List1!Y38,"AAAAAH+e+us=")</f>
        <v>#VALUE!</v>
      </c>
      <c r="IC6" t="e">
        <f>AND(List1!Z38,"AAAAAH+e+uw=")</f>
        <v>#VALUE!</v>
      </c>
      <c r="ID6" t="e">
        <f>AND(List1!AA38,"AAAAAH+e+u0=")</f>
        <v>#VALUE!</v>
      </c>
      <c r="IE6" t="e">
        <f>AND(List1!AB38,"AAAAAH+e+u4=")</f>
        <v>#VALUE!</v>
      </c>
      <c r="IF6" t="e">
        <f>AND(List1!AC38,"AAAAAH+e+u8=")</f>
        <v>#VALUE!</v>
      </c>
      <c r="IG6" t="e">
        <f>AND(List1!B39,"AAAAAH+e+vA=")</f>
        <v>#VALUE!</v>
      </c>
      <c r="IH6" t="e">
        <f>AND(List1!C39,"AAAAAH+e+vE=")</f>
        <v>#VALUE!</v>
      </c>
      <c r="II6" t="e">
        <f>AND(List1!D39,"AAAAAH+e+vI=")</f>
        <v>#VALUE!</v>
      </c>
      <c r="IJ6" t="e">
        <f>AND(List1!E39,"AAAAAH+e+vM=")</f>
        <v>#VALUE!</v>
      </c>
      <c r="IK6" t="e">
        <f>AND(List1!F39,"AAAAAH+e+vQ=")</f>
        <v>#VALUE!</v>
      </c>
      <c r="IL6" t="e">
        <f>AND(List1!G39,"AAAAAH+e+vU=")</f>
        <v>#VALUE!</v>
      </c>
      <c r="IM6" t="e">
        <f>AND(List1!H39,"AAAAAH+e+vY=")</f>
        <v>#VALUE!</v>
      </c>
      <c r="IN6" t="e">
        <f>AND(List1!I39,"AAAAAH+e+vc=")</f>
        <v>#VALUE!</v>
      </c>
      <c r="IO6" t="e">
        <f>AND(List1!J39,"AAAAAH+e+vg=")</f>
        <v>#VALUE!</v>
      </c>
      <c r="IP6" t="e">
        <f>AND(List1!K39,"AAAAAH+e+vk=")</f>
        <v>#VALUE!</v>
      </c>
      <c r="IQ6" t="e">
        <f>AND(List1!L39,"AAAAAH+e+vo=")</f>
        <v>#VALUE!</v>
      </c>
      <c r="IR6" t="e">
        <f>AND(List1!M39,"AAAAAH+e+vs=")</f>
        <v>#VALUE!</v>
      </c>
      <c r="IS6" t="e">
        <f>AND(List1!N39,"AAAAAH+e+vw=")</f>
        <v>#VALUE!</v>
      </c>
      <c r="IT6" t="e">
        <f>AND(List1!O39,"AAAAAH+e+v0=")</f>
        <v>#VALUE!</v>
      </c>
      <c r="IU6" t="e">
        <f>AND(List1!P39,"AAAAAH+e+v4=")</f>
        <v>#VALUE!</v>
      </c>
      <c r="IV6" t="e">
        <f>AND(List1!Q39,"AAAAAH+e+v8=")</f>
        <v>#VALUE!</v>
      </c>
    </row>
    <row r="7" spans="1:256" x14ac:dyDescent="0.25">
      <c r="A7" t="e">
        <f>AND(List1!R39,"AAAAAHc7nwA=")</f>
        <v>#VALUE!</v>
      </c>
      <c r="B7" t="e">
        <f>AND(List1!S39,"AAAAAHc7nwE=")</f>
        <v>#VALUE!</v>
      </c>
      <c r="C7" t="e">
        <f>AND(List1!T39,"AAAAAHc7nwI=")</f>
        <v>#VALUE!</v>
      </c>
      <c r="D7" t="e">
        <f>AND(List1!U39,"AAAAAHc7nwM=")</f>
        <v>#VALUE!</v>
      </c>
      <c r="E7" t="e">
        <f>AND(List1!V39,"AAAAAHc7nwQ=")</f>
        <v>#VALUE!</v>
      </c>
      <c r="F7" t="e">
        <f>AND(List1!W39,"AAAAAHc7nwU=")</f>
        <v>#VALUE!</v>
      </c>
      <c r="G7" t="e">
        <f>AND(List1!X39,"AAAAAHc7nwY=")</f>
        <v>#VALUE!</v>
      </c>
      <c r="H7" t="e">
        <f>AND(List1!Y39,"AAAAAHc7nwc=")</f>
        <v>#VALUE!</v>
      </c>
      <c r="I7" t="e">
        <f>AND(List1!Z39,"AAAAAHc7nwg=")</f>
        <v>#VALUE!</v>
      </c>
      <c r="J7" t="e">
        <f>AND(List1!AA39,"AAAAAHc7nwk=")</f>
        <v>#VALUE!</v>
      </c>
      <c r="K7" t="e">
        <f>AND(List1!AB39,"AAAAAHc7nwo=")</f>
        <v>#VALUE!</v>
      </c>
      <c r="L7" t="e">
        <f>AND(List1!AC39,"AAAAAHc7nws=")</f>
        <v>#VALUE!</v>
      </c>
      <c r="M7" t="e">
        <f>AND(List1!B40,"AAAAAHc7nww=")</f>
        <v>#VALUE!</v>
      </c>
      <c r="N7" t="e">
        <f>AND(List1!C40,"AAAAAHc7nw0=")</f>
        <v>#VALUE!</v>
      </c>
      <c r="O7" t="e">
        <f>AND(List1!D40,"AAAAAHc7nw4=")</f>
        <v>#VALUE!</v>
      </c>
      <c r="P7" t="e">
        <f>AND(List1!E40,"AAAAAHc7nw8=")</f>
        <v>#VALUE!</v>
      </c>
      <c r="Q7" t="e">
        <f>AND(List1!F40,"AAAAAHc7nxA=")</f>
        <v>#VALUE!</v>
      </c>
      <c r="R7" t="e">
        <f>AND(List1!G40,"AAAAAHc7nxE=")</f>
        <v>#VALUE!</v>
      </c>
      <c r="S7" t="e">
        <f>AND(List1!H40,"AAAAAHc7nxI=")</f>
        <v>#VALUE!</v>
      </c>
      <c r="T7" t="e">
        <f>AND(List1!I40,"AAAAAHc7nxM=")</f>
        <v>#VALUE!</v>
      </c>
      <c r="U7" t="e">
        <f>AND(List1!J40,"AAAAAHc7nxQ=")</f>
        <v>#VALUE!</v>
      </c>
      <c r="V7" t="e">
        <f>AND(List1!K40,"AAAAAHc7nxU=")</f>
        <v>#VALUE!</v>
      </c>
      <c r="W7" t="e">
        <f>AND(List1!L40,"AAAAAHc7nxY=")</f>
        <v>#VALUE!</v>
      </c>
      <c r="X7" t="e">
        <f>AND(List1!M40,"AAAAAHc7nxc=")</f>
        <v>#VALUE!</v>
      </c>
      <c r="Y7" t="e">
        <f>AND(List1!N40,"AAAAAHc7nxg=")</f>
        <v>#VALUE!</v>
      </c>
      <c r="Z7" t="e">
        <f>AND(List1!O40,"AAAAAHc7nxk=")</f>
        <v>#VALUE!</v>
      </c>
      <c r="AA7" t="e">
        <f>AND(List1!P40,"AAAAAHc7nxo=")</f>
        <v>#VALUE!</v>
      </c>
      <c r="AB7" t="e">
        <f>AND(List1!Q40,"AAAAAHc7nxs=")</f>
        <v>#VALUE!</v>
      </c>
      <c r="AC7" t="e">
        <f>AND(List1!R40,"AAAAAHc7nxw=")</f>
        <v>#VALUE!</v>
      </c>
      <c r="AD7" t="e">
        <f>AND(List1!S40,"AAAAAHc7nx0=")</f>
        <v>#VALUE!</v>
      </c>
      <c r="AE7" t="e">
        <f>AND(List1!T40,"AAAAAHc7nx4=")</f>
        <v>#VALUE!</v>
      </c>
      <c r="AF7" t="e">
        <f>AND(List1!U40,"AAAAAHc7nx8=")</f>
        <v>#VALUE!</v>
      </c>
      <c r="AG7" t="e">
        <f>AND(List1!V40,"AAAAAHc7nyA=")</f>
        <v>#VALUE!</v>
      </c>
      <c r="AH7" t="e">
        <f>AND(List1!W40,"AAAAAHc7nyE=")</f>
        <v>#VALUE!</v>
      </c>
      <c r="AI7" t="e">
        <f>AND(List1!X40,"AAAAAHc7nyI=")</f>
        <v>#VALUE!</v>
      </c>
      <c r="AJ7" t="e">
        <f>AND(List1!Y40,"AAAAAHc7nyM=")</f>
        <v>#VALUE!</v>
      </c>
      <c r="AK7" t="e">
        <f>AND(List1!Z40,"AAAAAHc7nyQ=")</f>
        <v>#VALUE!</v>
      </c>
      <c r="AL7" t="e">
        <f>AND(List1!AA40,"AAAAAHc7nyU=")</f>
        <v>#VALUE!</v>
      </c>
      <c r="AM7" t="e">
        <f>AND(List1!AB40,"AAAAAHc7nyY=")</f>
        <v>#VALUE!</v>
      </c>
      <c r="AN7" t="e">
        <f>AND(List1!AC40,"AAAAAHc7nyc=")</f>
        <v>#VALUE!</v>
      </c>
      <c r="AO7" t="e">
        <f>AND(List1!B41,"AAAAAHc7nyg=")</f>
        <v>#VALUE!</v>
      </c>
      <c r="AP7" t="e">
        <f>AND(List1!C41,"AAAAAHc7nyk=")</f>
        <v>#VALUE!</v>
      </c>
      <c r="AQ7" t="e">
        <f>AND(List1!D41,"AAAAAHc7nyo=")</f>
        <v>#VALUE!</v>
      </c>
      <c r="AR7" t="e">
        <f>AND(List1!E41,"AAAAAHc7nys=")</f>
        <v>#VALUE!</v>
      </c>
      <c r="AS7" t="e">
        <f>AND(List1!F41,"AAAAAHc7nyw=")</f>
        <v>#VALUE!</v>
      </c>
      <c r="AT7" t="e">
        <f>AND(List1!G41,"AAAAAHc7ny0=")</f>
        <v>#VALUE!</v>
      </c>
      <c r="AU7" t="e">
        <f>AND(List1!H41,"AAAAAHc7ny4=")</f>
        <v>#VALUE!</v>
      </c>
      <c r="AV7" t="e">
        <f>AND(List1!I41,"AAAAAHc7ny8=")</f>
        <v>#VALUE!</v>
      </c>
      <c r="AW7" t="e">
        <f>AND(List1!J41,"AAAAAHc7nzA=")</f>
        <v>#VALUE!</v>
      </c>
      <c r="AX7" t="e">
        <f>AND(List1!K41,"AAAAAHc7nzE=")</f>
        <v>#VALUE!</v>
      </c>
      <c r="AY7" t="e">
        <f>AND(List1!L41,"AAAAAHc7nzI=")</f>
        <v>#VALUE!</v>
      </c>
      <c r="AZ7" t="e">
        <f>AND(List1!M41,"AAAAAHc7nzM=")</f>
        <v>#VALUE!</v>
      </c>
      <c r="BA7" t="e">
        <f>AND(List1!N41,"AAAAAHc7nzQ=")</f>
        <v>#VALUE!</v>
      </c>
      <c r="BB7" t="e">
        <f>AND(List1!O41,"AAAAAHc7nzU=")</f>
        <v>#VALUE!</v>
      </c>
      <c r="BC7" t="e">
        <f>AND(List1!P41,"AAAAAHc7nzY=")</f>
        <v>#VALUE!</v>
      </c>
      <c r="BD7" t="e">
        <f>AND(List1!Q41,"AAAAAHc7nzc=")</f>
        <v>#VALUE!</v>
      </c>
      <c r="BE7" t="e">
        <f>AND(List1!R41,"AAAAAHc7nzg=")</f>
        <v>#VALUE!</v>
      </c>
      <c r="BF7" t="e">
        <f>AND(List1!S41,"AAAAAHc7nzk=")</f>
        <v>#VALUE!</v>
      </c>
      <c r="BG7" t="e">
        <f>AND(List1!T41,"AAAAAHc7nzo=")</f>
        <v>#VALUE!</v>
      </c>
      <c r="BH7" t="e">
        <f>AND(List1!U41,"AAAAAHc7nzs=")</f>
        <v>#VALUE!</v>
      </c>
      <c r="BI7" t="e">
        <f>AND(List1!V41,"AAAAAHc7nzw=")</f>
        <v>#VALUE!</v>
      </c>
      <c r="BJ7" t="e">
        <f>AND(List1!W41,"AAAAAHc7nz0=")</f>
        <v>#VALUE!</v>
      </c>
      <c r="BK7" t="e">
        <f>AND(List1!X41,"AAAAAHc7nz4=")</f>
        <v>#VALUE!</v>
      </c>
      <c r="BL7" t="e">
        <f>AND(List1!Y41,"AAAAAHc7nz8=")</f>
        <v>#VALUE!</v>
      </c>
      <c r="BM7" t="e">
        <f>AND(List1!Z41,"AAAAAHc7n0A=")</f>
        <v>#VALUE!</v>
      </c>
      <c r="BN7" t="e">
        <f>AND(List1!AA41,"AAAAAHc7n0E=")</f>
        <v>#VALUE!</v>
      </c>
      <c r="BO7" t="e">
        <f>AND(List1!AB41,"AAAAAHc7n0I=")</f>
        <v>#VALUE!</v>
      </c>
      <c r="BP7" t="e">
        <f>AND(List1!AC41,"AAAAAHc7n0M=")</f>
        <v>#VALUE!</v>
      </c>
      <c r="BQ7" t="e">
        <f>AND(List1!B42,"AAAAAHc7n0Q=")</f>
        <v>#VALUE!</v>
      </c>
      <c r="BR7" t="e">
        <f>AND(List1!C42,"AAAAAHc7n0U=")</f>
        <v>#VALUE!</v>
      </c>
      <c r="BS7" t="e">
        <f>AND(List1!D42,"AAAAAHc7n0Y=")</f>
        <v>#VALUE!</v>
      </c>
      <c r="BT7" t="e">
        <f>AND(List1!E42,"AAAAAHc7n0c=")</f>
        <v>#VALUE!</v>
      </c>
      <c r="BU7" t="e">
        <f>AND(List1!F42,"AAAAAHc7n0g=")</f>
        <v>#VALUE!</v>
      </c>
      <c r="BV7" t="e">
        <f>AND(List1!G42,"AAAAAHc7n0k=")</f>
        <v>#VALUE!</v>
      </c>
      <c r="BW7" t="e">
        <f>AND(List1!H42,"AAAAAHc7n0o=")</f>
        <v>#VALUE!</v>
      </c>
      <c r="BX7" t="e">
        <f>AND(List1!I42,"AAAAAHc7n0s=")</f>
        <v>#VALUE!</v>
      </c>
      <c r="BY7" t="e">
        <f>AND(List1!J42,"AAAAAHc7n0w=")</f>
        <v>#VALUE!</v>
      </c>
      <c r="BZ7" t="e">
        <f>AND(List1!K42,"AAAAAHc7n00=")</f>
        <v>#VALUE!</v>
      </c>
      <c r="CA7" t="e">
        <f>AND(List1!L42,"AAAAAHc7n04=")</f>
        <v>#VALUE!</v>
      </c>
      <c r="CB7" t="e">
        <f>AND(List1!M42,"AAAAAHc7n08=")</f>
        <v>#VALUE!</v>
      </c>
      <c r="CC7" t="e">
        <f>AND(List1!N42,"AAAAAHc7n1A=")</f>
        <v>#VALUE!</v>
      </c>
      <c r="CD7" t="e">
        <f>AND(List1!O42,"AAAAAHc7n1E=")</f>
        <v>#VALUE!</v>
      </c>
      <c r="CE7" t="e">
        <f>AND(List1!P42,"AAAAAHc7n1I=")</f>
        <v>#VALUE!</v>
      </c>
      <c r="CF7" t="e">
        <f>AND(List1!Q42,"AAAAAHc7n1M=")</f>
        <v>#VALUE!</v>
      </c>
      <c r="CG7" t="e">
        <f>AND(List1!R42,"AAAAAHc7n1Q=")</f>
        <v>#VALUE!</v>
      </c>
      <c r="CH7" t="e">
        <f>AND(List1!S42,"AAAAAHc7n1U=")</f>
        <v>#VALUE!</v>
      </c>
      <c r="CI7" t="e">
        <f>AND(List1!T42,"AAAAAHc7n1Y=")</f>
        <v>#VALUE!</v>
      </c>
      <c r="CJ7" t="e">
        <f>AND(List1!U42,"AAAAAHc7n1c=")</f>
        <v>#VALUE!</v>
      </c>
      <c r="CK7" t="e">
        <f>AND(List1!V42,"AAAAAHc7n1g=")</f>
        <v>#VALUE!</v>
      </c>
      <c r="CL7" t="e">
        <f>AND(List1!W42,"AAAAAHc7n1k=")</f>
        <v>#VALUE!</v>
      </c>
      <c r="CM7" t="e">
        <f>AND(List1!X42,"AAAAAHc7n1o=")</f>
        <v>#VALUE!</v>
      </c>
      <c r="CN7" t="e">
        <f>AND(List1!Y42,"AAAAAHc7n1s=")</f>
        <v>#VALUE!</v>
      </c>
      <c r="CO7" t="e">
        <f>AND(List1!Z42,"AAAAAHc7n1w=")</f>
        <v>#VALUE!</v>
      </c>
      <c r="CP7" t="e">
        <f>AND(List1!AA42,"AAAAAHc7n10=")</f>
        <v>#VALUE!</v>
      </c>
      <c r="CQ7" t="e">
        <f>AND(List1!AB42,"AAAAAHc7n14=")</f>
        <v>#VALUE!</v>
      </c>
      <c r="CR7" t="e">
        <f>AND(List1!AC42,"AAAAAHc7n18=")</f>
        <v>#VALUE!</v>
      </c>
      <c r="CS7" t="e">
        <f>AND(List1!B43,"AAAAAHc7n2A=")</f>
        <v>#VALUE!</v>
      </c>
      <c r="CT7" t="e">
        <f>AND(List1!C43,"AAAAAHc7n2E=")</f>
        <v>#VALUE!</v>
      </c>
      <c r="CU7" t="e">
        <f>AND(List1!D43,"AAAAAHc7n2I=")</f>
        <v>#VALUE!</v>
      </c>
      <c r="CV7" t="e">
        <f>AND(List1!E43,"AAAAAHc7n2M=")</f>
        <v>#VALUE!</v>
      </c>
      <c r="CW7" t="e">
        <f>AND(List1!F43,"AAAAAHc7n2Q=")</f>
        <v>#VALUE!</v>
      </c>
      <c r="CX7" t="e">
        <f>AND(List1!G43,"AAAAAHc7n2U=")</f>
        <v>#VALUE!</v>
      </c>
      <c r="CY7" t="e">
        <f>AND(List1!H43,"AAAAAHc7n2Y=")</f>
        <v>#VALUE!</v>
      </c>
      <c r="CZ7" t="e">
        <f>AND(List1!I43,"AAAAAHc7n2c=")</f>
        <v>#VALUE!</v>
      </c>
      <c r="DA7" t="e">
        <f>AND(List1!J43,"AAAAAHc7n2g=")</f>
        <v>#VALUE!</v>
      </c>
      <c r="DB7" t="e">
        <f>AND(List1!K43,"AAAAAHc7n2k=")</f>
        <v>#VALUE!</v>
      </c>
      <c r="DC7" t="e">
        <f>AND(List1!L43,"AAAAAHc7n2o=")</f>
        <v>#VALUE!</v>
      </c>
      <c r="DD7" t="e">
        <f>AND(List1!M43,"AAAAAHc7n2s=")</f>
        <v>#VALUE!</v>
      </c>
      <c r="DE7" t="e">
        <f>AND(List1!N43,"AAAAAHc7n2w=")</f>
        <v>#VALUE!</v>
      </c>
      <c r="DF7" t="e">
        <f>AND(List1!O43,"AAAAAHc7n20=")</f>
        <v>#VALUE!</v>
      </c>
      <c r="DG7" t="e">
        <f>AND(List1!P43,"AAAAAHc7n24=")</f>
        <v>#VALUE!</v>
      </c>
      <c r="DH7" t="e">
        <f>AND(List1!Q43,"AAAAAHc7n28=")</f>
        <v>#VALUE!</v>
      </c>
      <c r="DI7" t="e">
        <f>AND(List1!R43,"AAAAAHc7n3A=")</f>
        <v>#VALUE!</v>
      </c>
      <c r="DJ7" t="e">
        <f>AND(List1!S43,"AAAAAHc7n3E=")</f>
        <v>#VALUE!</v>
      </c>
      <c r="DK7" t="e">
        <f>AND(List1!T43,"AAAAAHc7n3I=")</f>
        <v>#VALUE!</v>
      </c>
      <c r="DL7" t="e">
        <f>AND(List1!U43,"AAAAAHc7n3M=")</f>
        <v>#VALUE!</v>
      </c>
      <c r="DM7" t="e">
        <f>AND(List1!V43,"AAAAAHc7n3Q=")</f>
        <v>#VALUE!</v>
      </c>
      <c r="DN7" t="e">
        <f>AND(List1!W43,"AAAAAHc7n3U=")</f>
        <v>#VALUE!</v>
      </c>
      <c r="DO7" t="e">
        <f>AND(List1!X43,"AAAAAHc7n3Y=")</f>
        <v>#VALUE!</v>
      </c>
      <c r="DP7" t="e">
        <f>AND(List1!Y43,"AAAAAHc7n3c=")</f>
        <v>#VALUE!</v>
      </c>
      <c r="DQ7" t="e">
        <f>AND(List1!Z43,"AAAAAHc7n3g=")</f>
        <v>#VALUE!</v>
      </c>
      <c r="DR7" t="e">
        <f>AND(List1!AA43,"AAAAAHc7n3k=")</f>
        <v>#VALUE!</v>
      </c>
      <c r="DS7" t="e">
        <f>AND(List1!AB43,"AAAAAHc7n3o=")</f>
        <v>#VALUE!</v>
      </c>
      <c r="DT7" t="e">
        <f>AND(List1!AC43,"AAAAAHc7n3s=")</f>
        <v>#VALUE!</v>
      </c>
      <c r="DU7" t="e">
        <f>AND(List1!B44,"AAAAAHc7n3w=")</f>
        <v>#VALUE!</v>
      </c>
      <c r="DV7" t="e">
        <f>AND(List1!C44,"AAAAAHc7n30=")</f>
        <v>#VALUE!</v>
      </c>
      <c r="DW7" t="e">
        <f>AND(List1!D44,"AAAAAHc7n34=")</f>
        <v>#VALUE!</v>
      </c>
      <c r="DX7" t="e">
        <f>AND(List1!E44,"AAAAAHc7n38=")</f>
        <v>#VALUE!</v>
      </c>
      <c r="DY7" t="e">
        <f>AND(List1!F44,"AAAAAHc7n4A=")</f>
        <v>#VALUE!</v>
      </c>
      <c r="DZ7" t="e">
        <f>AND(List1!G44,"AAAAAHc7n4E=")</f>
        <v>#VALUE!</v>
      </c>
      <c r="EA7" t="e">
        <f>AND(List1!H44,"AAAAAHc7n4I=")</f>
        <v>#VALUE!</v>
      </c>
      <c r="EB7" t="e">
        <f>AND(List1!I44,"AAAAAHc7n4M=")</f>
        <v>#VALUE!</v>
      </c>
      <c r="EC7" t="e">
        <f>AND(List1!J44,"AAAAAHc7n4Q=")</f>
        <v>#VALUE!</v>
      </c>
      <c r="ED7" t="e">
        <f>AND(List1!K44,"AAAAAHc7n4U=")</f>
        <v>#VALUE!</v>
      </c>
      <c r="EE7" t="e">
        <f>AND(List1!L44,"AAAAAHc7n4Y=")</f>
        <v>#VALUE!</v>
      </c>
      <c r="EF7" t="e">
        <f>AND(List1!M44,"AAAAAHc7n4c=")</f>
        <v>#VALUE!</v>
      </c>
      <c r="EG7" t="e">
        <f>AND(List1!N44,"AAAAAHc7n4g=")</f>
        <v>#VALUE!</v>
      </c>
      <c r="EH7" t="e">
        <f>AND(List1!O44,"AAAAAHc7n4k=")</f>
        <v>#VALUE!</v>
      </c>
      <c r="EI7" t="e">
        <f>AND(List1!P44,"AAAAAHc7n4o=")</f>
        <v>#VALUE!</v>
      </c>
      <c r="EJ7" t="e">
        <f>AND(List1!Q44,"AAAAAHc7n4s=")</f>
        <v>#VALUE!</v>
      </c>
      <c r="EK7" t="e">
        <f>AND(List1!R44,"AAAAAHc7n4w=")</f>
        <v>#VALUE!</v>
      </c>
      <c r="EL7" t="e">
        <f>AND(List1!S44,"AAAAAHc7n40=")</f>
        <v>#VALUE!</v>
      </c>
      <c r="EM7" t="e">
        <f>AND(List1!T44,"AAAAAHc7n44=")</f>
        <v>#VALUE!</v>
      </c>
      <c r="EN7" t="e">
        <f>AND(List1!U44,"AAAAAHc7n48=")</f>
        <v>#VALUE!</v>
      </c>
      <c r="EO7" t="e">
        <f>AND(List1!V44,"AAAAAHc7n5A=")</f>
        <v>#VALUE!</v>
      </c>
      <c r="EP7" t="e">
        <f>AND(List1!W44,"AAAAAHc7n5E=")</f>
        <v>#VALUE!</v>
      </c>
      <c r="EQ7" t="e">
        <f>AND(List1!X44,"AAAAAHc7n5I=")</f>
        <v>#VALUE!</v>
      </c>
      <c r="ER7" t="e">
        <f>AND(List1!Y44,"AAAAAHc7n5M=")</f>
        <v>#VALUE!</v>
      </c>
      <c r="ES7" t="e">
        <f>AND(List1!Z44,"AAAAAHc7n5Q=")</f>
        <v>#VALUE!</v>
      </c>
      <c r="ET7" t="e">
        <f>AND(List1!AA44,"AAAAAHc7n5U=")</f>
        <v>#VALUE!</v>
      </c>
      <c r="EU7" t="e">
        <f>AND(List1!AB44,"AAAAAHc7n5Y=")</f>
        <v>#VALUE!</v>
      </c>
      <c r="EV7" t="e">
        <f>AND(List1!AC44,"AAAAAHc7n5c=")</f>
        <v>#VALUE!</v>
      </c>
      <c r="EW7" t="e">
        <f>AND(List1!B45,"AAAAAHc7n5g=")</f>
        <v>#VALUE!</v>
      </c>
      <c r="EX7" t="e">
        <f>AND(List1!C45,"AAAAAHc7n5k=")</f>
        <v>#VALUE!</v>
      </c>
      <c r="EY7" t="e">
        <f>AND(List1!D45,"AAAAAHc7n5o=")</f>
        <v>#VALUE!</v>
      </c>
      <c r="EZ7" t="e">
        <f>AND(List1!E45,"AAAAAHc7n5s=")</f>
        <v>#VALUE!</v>
      </c>
      <c r="FA7" t="e">
        <f>AND(List1!F45,"AAAAAHc7n5w=")</f>
        <v>#VALUE!</v>
      </c>
      <c r="FB7" t="e">
        <f>AND(List1!G45,"AAAAAHc7n50=")</f>
        <v>#VALUE!</v>
      </c>
      <c r="FC7" t="e">
        <f>AND(List1!H45,"AAAAAHc7n54=")</f>
        <v>#VALUE!</v>
      </c>
      <c r="FD7" t="e">
        <f>AND(List1!I45,"AAAAAHc7n58=")</f>
        <v>#VALUE!</v>
      </c>
      <c r="FE7" t="e">
        <f>AND(List1!J45,"AAAAAHc7n6A=")</f>
        <v>#VALUE!</v>
      </c>
      <c r="FF7" t="e">
        <f>AND(List1!K45,"AAAAAHc7n6E=")</f>
        <v>#VALUE!</v>
      </c>
      <c r="FG7" t="e">
        <f>AND(List1!L45,"AAAAAHc7n6I=")</f>
        <v>#VALUE!</v>
      </c>
      <c r="FH7" t="e">
        <f>AND(List1!M45,"AAAAAHc7n6M=")</f>
        <v>#VALUE!</v>
      </c>
      <c r="FI7" t="e">
        <f>AND(List1!N45,"AAAAAHc7n6Q=")</f>
        <v>#VALUE!</v>
      </c>
      <c r="FJ7" t="e">
        <f>AND(List1!O45,"AAAAAHc7n6U=")</f>
        <v>#VALUE!</v>
      </c>
      <c r="FK7" t="e">
        <f>AND(List1!P45,"AAAAAHc7n6Y=")</f>
        <v>#VALUE!</v>
      </c>
      <c r="FL7" t="e">
        <f>AND(List1!Q45,"AAAAAHc7n6c=")</f>
        <v>#VALUE!</v>
      </c>
      <c r="FM7" t="e">
        <f>AND(List1!R45,"AAAAAHc7n6g=")</f>
        <v>#VALUE!</v>
      </c>
      <c r="FN7" t="e">
        <f>AND(List1!S45,"AAAAAHc7n6k=")</f>
        <v>#VALUE!</v>
      </c>
      <c r="FO7" t="e">
        <f>AND(List1!T45,"AAAAAHc7n6o=")</f>
        <v>#VALUE!</v>
      </c>
      <c r="FP7" t="e">
        <f>AND(List1!U45,"AAAAAHc7n6s=")</f>
        <v>#VALUE!</v>
      </c>
      <c r="FQ7" t="e">
        <f>AND(List1!V45,"AAAAAHc7n6w=")</f>
        <v>#VALUE!</v>
      </c>
      <c r="FR7" t="e">
        <f>AND(List1!W45,"AAAAAHc7n60=")</f>
        <v>#VALUE!</v>
      </c>
      <c r="FS7" t="e">
        <f>AND(List1!X45,"AAAAAHc7n64=")</f>
        <v>#VALUE!</v>
      </c>
      <c r="FT7" t="e">
        <f>AND(List1!Y45,"AAAAAHc7n68=")</f>
        <v>#VALUE!</v>
      </c>
      <c r="FU7" t="e">
        <f>AND(List1!Z45,"AAAAAHc7n7A=")</f>
        <v>#VALUE!</v>
      </c>
      <c r="FV7" t="e">
        <f>AND(List1!AA45,"AAAAAHc7n7E=")</f>
        <v>#VALUE!</v>
      </c>
      <c r="FW7" t="e">
        <f>AND(List1!AB45,"AAAAAHc7n7I=")</f>
        <v>#VALUE!</v>
      </c>
      <c r="FX7" t="e">
        <f>AND(List1!AC45,"AAAAAHc7n7M=")</f>
        <v>#VALUE!</v>
      </c>
      <c r="FY7" t="e">
        <f>AND(List1!B46,"AAAAAHc7n7Q=")</f>
        <v>#VALUE!</v>
      </c>
      <c r="FZ7" t="e">
        <f>AND(List1!C46,"AAAAAHc7n7U=")</f>
        <v>#VALUE!</v>
      </c>
      <c r="GA7" t="e">
        <f>AND(List1!D46,"AAAAAHc7n7Y=")</f>
        <v>#VALUE!</v>
      </c>
      <c r="GB7" t="e">
        <f>AND(List1!E46,"AAAAAHc7n7c=")</f>
        <v>#VALUE!</v>
      </c>
      <c r="GC7" t="e">
        <f>AND(List1!F46,"AAAAAHc7n7g=")</f>
        <v>#VALUE!</v>
      </c>
      <c r="GD7" t="e">
        <f>AND(List1!G46,"AAAAAHc7n7k=")</f>
        <v>#VALUE!</v>
      </c>
      <c r="GE7" t="e">
        <f>AND(List1!H46,"AAAAAHc7n7o=")</f>
        <v>#VALUE!</v>
      </c>
      <c r="GF7" t="e">
        <f>AND(List1!I46,"AAAAAHc7n7s=")</f>
        <v>#VALUE!</v>
      </c>
      <c r="GG7" t="e">
        <f>AND(List1!J46,"AAAAAHc7n7w=")</f>
        <v>#VALUE!</v>
      </c>
      <c r="GH7" t="e">
        <f>AND(List1!K46,"AAAAAHc7n70=")</f>
        <v>#VALUE!</v>
      </c>
      <c r="GI7" t="e">
        <f>AND(List1!L46,"AAAAAHc7n74=")</f>
        <v>#VALUE!</v>
      </c>
      <c r="GJ7" t="e">
        <f>AND(List1!M46,"AAAAAHc7n78=")</f>
        <v>#VALUE!</v>
      </c>
      <c r="GK7" t="e">
        <f>AND(List1!N46,"AAAAAHc7n8A=")</f>
        <v>#VALUE!</v>
      </c>
      <c r="GL7" t="e">
        <f>AND(List1!O46,"AAAAAHc7n8E=")</f>
        <v>#VALUE!</v>
      </c>
      <c r="GM7" t="e">
        <f>AND(List1!P46,"AAAAAHc7n8I=")</f>
        <v>#VALUE!</v>
      </c>
      <c r="GN7" t="e">
        <f>AND(List1!Q46,"AAAAAHc7n8M=")</f>
        <v>#VALUE!</v>
      </c>
      <c r="GO7" t="e">
        <f>AND(List1!R46,"AAAAAHc7n8Q=")</f>
        <v>#VALUE!</v>
      </c>
      <c r="GP7" t="e">
        <f>AND(List1!S46,"AAAAAHc7n8U=")</f>
        <v>#VALUE!</v>
      </c>
      <c r="GQ7" t="e">
        <f>AND(List1!T46,"AAAAAHc7n8Y=")</f>
        <v>#VALUE!</v>
      </c>
      <c r="GR7" t="e">
        <f>AND(List1!U46,"AAAAAHc7n8c=")</f>
        <v>#VALUE!</v>
      </c>
      <c r="GS7" t="e">
        <f>AND(List1!V46,"AAAAAHc7n8g=")</f>
        <v>#VALUE!</v>
      </c>
      <c r="GT7" t="e">
        <f>AND(List1!W46,"AAAAAHc7n8k=")</f>
        <v>#VALUE!</v>
      </c>
      <c r="GU7" t="e">
        <f>AND(List1!X46,"AAAAAHc7n8o=")</f>
        <v>#VALUE!</v>
      </c>
      <c r="GV7" t="e">
        <f>AND(List1!Y46,"AAAAAHc7n8s=")</f>
        <v>#VALUE!</v>
      </c>
      <c r="GW7" t="e">
        <f>AND(List1!Z46,"AAAAAHc7n8w=")</f>
        <v>#VALUE!</v>
      </c>
      <c r="GX7" t="e">
        <f>AND(List1!AA46,"AAAAAHc7n80=")</f>
        <v>#VALUE!</v>
      </c>
      <c r="GY7" t="e">
        <f>AND(List1!AB46,"AAAAAHc7n84=")</f>
        <v>#VALUE!</v>
      </c>
      <c r="GZ7" t="e">
        <f>AND(List1!AC46,"AAAAAHc7n88=")</f>
        <v>#VALUE!</v>
      </c>
      <c r="HA7" t="e">
        <f>AND(List1!B47,"AAAAAHc7n9A=")</f>
        <v>#VALUE!</v>
      </c>
      <c r="HB7" t="e">
        <f>AND(List1!C47,"AAAAAHc7n9E=")</f>
        <v>#VALUE!</v>
      </c>
      <c r="HC7" t="e">
        <f>AND(List1!D47,"AAAAAHc7n9I=")</f>
        <v>#VALUE!</v>
      </c>
      <c r="HD7" t="e">
        <f>AND(List1!E47,"AAAAAHc7n9M=")</f>
        <v>#VALUE!</v>
      </c>
      <c r="HE7" t="e">
        <f>AND(List1!F47,"AAAAAHc7n9Q=")</f>
        <v>#VALUE!</v>
      </c>
      <c r="HF7" t="e">
        <f>AND(List1!G47,"AAAAAHc7n9U=")</f>
        <v>#VALUE!</v>
      </c>
      <c r="HG7" t="e">
        <f>AND(List1!H47,"AAAAAHc7n9Y=")</f>
        <v>#VALUE!</v>
      </c>
      <c r="HH7" t="e">
        <f>AND(List1!I47,"AAAAAHc7n9c=")</f>
        <v>#VALUE!</v>
      </c>
      <c r="HI7" t="e">
        <f>AND(List1!J47,"AAAAAHc7n9g=")</f>
        <v>#VALUE!</v>
      </c>
      <c r="HJ7" t="e">
        <f>AND(List1!K47,"AAAAAHc7n9k=")</f>
        <v>#VALUE!</v>
      </c>
      <c r="HK7" t="e">
        <f>AND(List1!L47,"AAAAAHc7n9o=")</f>
        <v>#VALUE!</v>
      </c>
      <c r="HL7" t="e">
        <f>AND(List1!M47,"AAAAAHc7n9s=")</f>
        <v>#VALUE!</v>
      </c>
      <c r="HM7" t="e">
        <f>AND(List1!N47,"AAAAAHc7n9w=")</f>
        <v>#VALUE!</v>
      </c>
      <c r="HN7" t="e">
        <f>AND(List1!O47,"AAAAAHc7n90=")</f>
        <v>#VALUE!</v>
      </c>
      <c r="HO7" t="e">
        <f>AND(List1!P47,"AAAAAHc7n94=")</f>
        <v>#VALUE!</v>
      </c>
      <c r="HP7" t="e">
        <f>AND(List1!Q47,"AAAAAHc7n98=")</f>
        <v>#VALUE!</v>
      </c>
      <c r="HQ7" t="e">
        <f>AND(List1!R47,"AAAAAHc7n+A=")</f>
        <v>#VALUE!</v>
      </c>
      <c r="HR7" t="e">
        <f>AND(List1!S47,"AAAAAHc7n+E=")</f>
        <v>#VALUE!</v>
      </c>
      <c r="HS7" t="e">
        <f>AND(List1!T47,"AAAAAHc7n+I=")</f>
        <v>#VALUE!</v>
      </c>
      <c r="HT7" t="e">
        <f>AND(List1!U47,"AAAAAHc7n+M=")</f>
        <v>#VALUE!</v>
      </c>
      <c r="HU7" t="e">
        <f>AND(List1!V47,"AAAAAHc7n+Q=")</f>
        <v>#VALUE!</v>
      </c>
      <c r="HV7" t="e">
        <f>AND(List1!W47,"AAAAAHc7n+U=")</f>
        <v>#VALUE!</v>
      </c>
      <c r="HW7" t="e">
        <f>AND(List1!X47,"AAAAAHc7n+Y=")</f>
        <v>#VALUE!</v>
      </c>
      <c r="HX7" t="e">
        <f>AND(List1!Y47,"AAAAAHc7n+c=")</f>
        <v>#VALUE!</v>
      </c>
      <c r="HY7" t="e">
        <f>AND(List1!Z47,"AAAAAHc7n+g=")</f>
        <v>#VALUE!</v>
      </c>
      <c r="HZ7" t="e">
        <f>AND(List1!AA47,"AAAAAHc7n+k=")</f>
        <v>#VALUE!</v>
      </c>
      <c r="IA7" t="e">
        <f>AND(List1!AB47,"AAAAAHc7n+o=")</f>
        <v>#VALUE!</v>
      </c>
      <c r="IB7" t="e">
        <f>AND(List1!AC47,"AAAAAHc7n+s=")</f>
        <v>#VALUE!</v>
      </c>
      <c r="IC7" t="e">
        <f>AND(List1!B48,"AAAAAHc7n+w=")</f>
        <v>#VALUE!</v>
      </c>
      <c r="ID7" t="e">
        <f>AND(List1!C48,"AAAAAHc7n+0=")</f>
        <v>#VALUE!</v>
      </c>
      <c r="IE7" t="e">
        <f>AND(List1!D48,"AAAAAHc7n+4=")</f>
        <v>#VALUE!</v>
      </c>
      <c r="IF7" t="e">
        <f>AND(List1!E48,"AAAAAHc7n+8=")</f>
        <v>#VALUE!</v>
      </c>
      <c r="IG7" t="e">
        <f>AND(List1!F48,"AAAAAHc7n/A=")</f>
        <v>#VALUE!</v>
      </c>
      <c r="IH7" t="e">
        <f>AND(List1!G48,"AAAAAHc7n/E=")</f>
        <v>#VALUE!</v>
      </c>
      <c r="II7" t="e">
        <f>AND(List1!H48,"AAAAAHc7n/I=")</f>
        <v>#VALUE!</v>
      </c>
      <c r="IJ7" t="e">
        <f>AND(List1!I48,"AAAAAHc7n/M=")</f>
        <v>#VALUE!</v>
      </c>
      <c r="IK7" t="e">
        <f>AND(List1!J48,"AAAAAHc7n/Q=")</f>
        <v>#VALUE!</v>
      </c>
      <c r="IL7" t="e">
        <f>AND(List1!K48,"AAAAAHc7n/U=")</f>
        <v>#VALUE!</v>
      </c>
      <c r="IM7" t="e">
        <f>AND(List1!L48,"AAAAAHc7n/Y=")</f>
        <v>#VALUE!</v>
      </c>
      <c r="IN7" t="e">
        <f>AND(List1!M48,"AAAAAHc7n/c=")</f>
        <v>#VALUE!</v>
      </c>
      <c r="IO7" t="e">
        <f>AND(List1!N48,"AAAAAHc7n/g=")</f>
        <v>#VALUE!</v>
      </c>
      <c r="IP7" t="e">
        <f>AND(List1!O48,"AAAAAHc7n/k=")</f>
        <v>#VALUE!</v>
      </c>
      <c r="IQ7" t="e">
        <f>AND(List1!P48,"AAAAAHc7n/o=")</f>
        <v>#VALUE!</v>
      </c>
      <c r="IR7" t="e">
        <f>AND(List1!Q48,"AAAAAHc7n/s=")</f>
        <v>#VALUE!</v>
      </c>
      <c r="IS7" t="e">
        <f>AND(List1!R48,"AAAAAHc7n/w=")</f>
        <v>#VALUE!</v>
      </c>
      <c r="IT7" t="e">
        <f>AND(List1!S48,"AAAAAHc7n/0=")</f>
        <v>#VALUE!</v>
      </c>
      <c r="IU7" t="e">
        <f>AND(List1!T48,"AAAAAHc7n/4=")</f>
        <v>#VALUE!</v>
      </c>
      <c r="IV7" t="e">
        <f>AND(List1!U48,"AAAAAHc7n/8=")</f>
        <v>#VALUE!</v>
      </c>
    </row>
    <row r="8" spans="1:256" x14ac:dyDescent="0.25">
      <c r="A8" t="e">
        <f>AND(List1!V48,"AAAAAD3/LwA=")</f>
        <v>#VALUE!</v>
      </c>
      <c r="B8" t="e">
        <f>AND(List1!W48,"AAAAAD3/LwE=")</f>
        <v>#VALUE!</v>
      </c>
      <c r="C8" t="e">
        <f>AND(List1!X48,"AAAAAD3/LwI=")</f>
        <v>#VALUE!</v>
      </c>
      <c r="D8" t="e">
        <f>AND(List1!Y48,"AAAAAD3/LwM=")</f>
        <v>#VALUE!</v>
      </c>
      <c r="E8" t="e">
        <f>AND(List1!Z48,"AAAAAD3/LwQ=")</f>
        <v>#VALUE!</v>
      </c>
      <c r="F8" t="e">
        <f>AND(List1!AA48,"AAAAAD3/LwU=")</f>
        <v>#VALUE!</v>
      </c>
      <c r="G8" t="e">
        <f>AND(List1!AB48,"AAAAAD3/LwY=")</f>
        <v>#VALUE!</v>
      </c>
      <c r="H8" t="e">
        <f>AND(List1!AC48,"AAAAAD3/Lwc=")</f>
        <v>#VALUE!</v>
      </c>
      <c r="I8" t="e">
        <f>AND(List1!B49,"AAAAAD3/Lwg=")</f>
        <v>#VALUE!</v>
      </c>
      <c r="J8" t="e">
        <f>AND(List1!C49,"AAAAAD3/Lwk=")</f>
        <v>#VALUE!</v>
      </c>
      <c r="K8" t="e">
        <f>AND(List1!D49,"AAAAAD3/Lwo=")</f>
        <v>#VALUE!</v>
      </c>
      <c r="L8" t="e">
        <f>AND(List1!E49,"AAAAAD3/Lws=")</f>
        <v>#VALUE!</v>
      </c>
      <c r="M8" t="e">
        <f>AND(List1!F49,"AAAAAD3/Lww=")</f>
        <v>#VALUE!</v>
      </c>
      <c r="N8" t="e">
        <f>AND(List1!G49,"AAAAAD3/Lw0=")</f>
        <v>#VALUE!</v>
      </c>
      <c r="O8" t="e">
        <f>AND(List1!H49,"AAAAAD3/Lw4=")</f>
        <v>#VALUE!</v>
      </c>
      <c r="P8" t="e">
        <f>AND(List1!I49,"AAAAAD3/Lw8=")</f>
        <v>#VALUE!</v>
      </c>
      <c r="Q8" t="e">
        <f>AND(List1!J49,"AAAAAD3/LxA=")</f>
        <v>#VALUE!</v>
      </c>
      <c r="R8" t="e">
        <f>AND(List1!K49,"AAAAAD3/LxE=")</f>
        <v>#VALUE!</v>
      </c>
      <c r="S8" t="e">
        <f>AND(List1!L49,"AAAAAD3/LxI=")</f>
        <v>#VALUE!</v>
      </c>
      <c r="T8" t="e">
        <f>AND(List1!M49,"AAAAAD3/LxM=")</f>
        <v>#VALUE!</v>
      </c>
      <c r="U8" t="e">
        <f>AND(List1!N49,"AAAAAD3/LxQ=")</f>
        <v>#VALUE!</v>
      </c>
      <c r="V8" t="e">
        <f>AND(List1!O49,"AAAAAD3/LxU=")</f>
        <v>#VALUE!</v>
      </c>
      <c r="W8" t="e">
        <f>AND(List1!P49,"AAAAAD3/LxY=")</f>
        <v>#VALUE!</v>
      </c>
      <c r="X8" t="e">
        <f>AND(List1!Q49,"AAAAAD3/Lxc=")</f>
        <v>#VALUE!</v>
      </c>
      <c r="Y8" t="e">
        <f>AND(List1!R49,"AAAAAD3/Lxg=")</f>
        <v>#VALUE!</v>
      </c>
      <c r="Z8" t="e">
        <f>AND(List1!S49,"AAAAAD3/Lxk=")</f>
        <v>#VALUE!</v>
      </c>
      <c r="AA8" t="e">
        <f>AND(List1!T49,"AAAAAD3/Lxo=")</f>
        <v>#VALUE!</v>
      </c>
      <c r="AB8" t="e">
        <f>AND(List1!U49,"AAAAAD3/Lxs=")</f>
        <v>#VALUE!</v>
      </c>
      <c r="AC8" t="e">
        <f>AND(List1!V49,"AAAAAD3/Lxw=")</f>
        <v>#VALUE!</v>
      </c>
      <c r="AD8" t="e">
        <f>AND(List1!W49,"AAAAAD3/Lx0=")</f>
        <v>#VALUE!</v>
      </c>
      <c r="AE8" t="e">
        <f>AND(List1!X49,"AAAAAD3/Lx4=")</f>
        <v>#VALUE!</v>
      </c>
      <c r="AF8" t="e">
        <f>AND(List1!Y49,"AAAAAD3/Lx8=")</f>
        <v>#VALUE!</v>
      </c>
      <c r="AG8" t="e">
        <f>AND(List1!Z49,"AAAAAD3/LyA=")</f>
        <v>#VALUE!</v>
      </c>
      <c r="AH8" t="e">
        <f>AND(List1!AA49,"AAAAAD3/LyE=")</f>
        <v>#VALUE!</v>
      </c>
      <c r="AI8" t="e">
        <f>AND(List1!AB49,"AAAAAD3/LyI=")</f>
        <v>#VALUE!</v>
      </c>
      <c r="AJ8" t="e">
        <f>AND(List1!AC49,"AAAAAD3/LyM=")</f>
        <v>#VALUE!</v>
      </c>
      <c r="AK8" t="e">
        <f>AND(List1!B50,"AAAAAD3/LyQ=")</f>
        <v>#VALUE!</v>
      </c>
      <c r="AL8" t="e">
        <f>AND(List1!C50,"AAAAAD3/LyU=")</f>
        <v>#VALUE!</v>
      </c>
      <c r="AM8" t="e">
        <f>AND(List1!D50,"AAAAAD3/LyY=")</f>
        <v>#VALUE!</v>
      </c>
      <c r="AN8" t="e">
        <f>AND(List1!E50,"AAAAAD3/Lyc=")</f>
        <v>#VALUE!</v>
      </c>
      <c r="AO8" t="e">
        <f>AND(List1!F50,"AAAAAD3/Lyg=")</f>
        <v>#VALUE!</v>
      </c>
      <c r="AP8" t="e">
        <f>AND(List1!G50,"AAAAAD3/Lyk=")</f>
        <v>#VALUE!</v>
      </c>
      <c r="AQ8" t="e">
        <f>AND(List1!H50,"AAAAAD3/Lyo=")</f>
        <v>#VALUE!</v>
      </c>
      <c r="AR8" t="e">
        <f>AND(List1!I50,"AAAAAD3/Lys=")</f>
        <v>#VALUE!</v>
      </c>
      <c r="AS8" t="e">
        <f>AND(List1!J50,"AAAAAD3/Lyw=")</f>
        <v>#VALUE!</v>
      </c>
      <c r="AT8" t="e">
        <f>AND(List1!K50,"AAAAAD3/Ly0=")</f>
        <v>#VALUE!</v>
      </c>
      <c r="AU8" t="e">
        <f>AND(List1!L50,"AAAAAD3/Ly4=")</f>
        <v>#VALUE!</v>
      </c>
      <c r="AV8" t="e">
        <f>AND(List1!M50,"AAAAAD3/Ly8=")</f>
        <v>#VALUE!</v>
      </c>
      <c r="AW8" t="e">
        <f>AND(List1!N50,"AAAAAD3/LzA=")</f>
        <v>#VALUE!</v>
      </c>
      <c r="AX8" t="e">
        <f>AND(List1!O50,"AAAAAD3/LzE=")</f>
        <v>#VALUE!</v>
      </c>
      <c r="AY8" t="e">
        <f>AND(List1!P50,"AAAAAD3/LzI=")</f>
        <v>#VALUE!</v>
      </c>
      <c r="AZ8" t="e">
        <f>AND(List1!Q50,"AAAAAD3/LzM=")</f>
        <v>#VALUE!</v>
      </c>
      <c r="BA8" t="e">
        <f>AND(List1!R50,"AAAAAD3/LzQ=")</f>
        <v>#VALUE!</v>
      </c>
      <c r="BB8" t="e">
        <f>AND(List1!S50,"AAAAAD3/LzU=")</f>
        <v>#VALUE!</v>
      </c>
      <c r="BC8" t="e">
        <f>AND(List1!T50,"AAAAAD3/LzY=")</f>
        <v>#VALUE!</v>
      </c>
      <c r="BD8" t="e">
        <f>AND(List1!U50,"AAAAAD3/Lzc=")</f>
        <v>#VALUE!</v>
      </c>
      <c r="BE8" t="e">
        <f>AND(List1!V50,"AAAAAD3/Lzg=")</f>
        <v>#VALUE!</v>
      </c>
      <c r="BF8" t="e">
        <f>AND(List1!W50,"AAAAAD3/Lzk=")</f>
        <v>#VALUE!</v>
      </c>
      <c r="BG8" t="e">
        <f>AND(List1!X50,"AAAAAD3/Lzo=")</f>
        <v>#VALUE!</v>
      </c>
      <c r="BH8" t="e">
        <f>AND(List1!Y50,"AAAAAD3/Lzs=")</f>
        <v>#VALUE!</v>
      </c>
      <c r="BI8" t="e">
        <f>AND(List1!Z50,"AAAAAD3/Lzw=")</f>
        <v>#VALUE!</v>
      </c>
      <c r="BJ8" t="e">
        <f>AND(List1!AA50,"AAAAAD3/Lz0=")</f>
        <v>#VALUE!</v>
      </c>
      <c r="BK8" t="e">
        <f>AND(List1!AB50,"AAAAAD3/Lz4=")</f>
        <v>#VALUE!</v>
      </c>
      <c r="BL8" t="e">
        <f>AND(List1!AC50,"AAAAAD3/Lz8=")</f>
        <v>#VALUE!</v>
      </c>
      <c r="BM8" t="e">
        <f>AND(List1!B51,"AAAAAD3/L0A=")</f>
        <v>#VALUE!</v>
      </c>
      <c r="BN8" t="e">
        <f>AND(List1!C51,"AAAAAD3/L0E=")</f>
        <v>#VALUE!</v>
      </c>
      <c r="BO8" t="e">
        <f>AND(List1!D51,"AAAAAD3/L0I=")</f>
        <v>#VALUE!</v>
      </c>
      <c r="BP8" t="e">
        <f>AND(List1!E51,"AAAAAD3/L0M=")</f>
        <v>#VALUE!</v>
      </c>
      <c r="BQ8" t="e">
        <f>AND(List1!F51,"AAAAAD3/L0Q=")</f>
        <v>#VALUE!</v>
      </c>
      <c r="BR8" t="e">
        <f>AND(List1!G51,"AAAAAD3/L0U=")</f>
        <v>#VALUE!</v>
      </c>
      <c r="BS8" t="e">
        <f>AND(List1!H51,"AAAAAD3/L0Y=")</f>
        <v>#VALUE!</v>
      </c>
      <c r="BT8" t="e">
        <f>AND(List1!I51,"AAAAAD3/L0c=")</f>
        <v>#VALUE!</v>
      </c>
      <c r="BU8" t="e">
        <f>AND(List1!J51,"AAAAAD3/L0g=")</f>
        <v>#VALUE!</v>
      </c>
      <c r="BV8" t="e">
        <f>AND(List1!K51,"AAAAAD3/L0k=")</f>
        <v>#VALUE!</v>
      </c>
      <c r="BW8" t="e">
        <f>AND(List1!L51,"AAAAAD3/L0o=")</f>
        <v>#VALUE!</v>
      </c>
      <c r="BX8" t="e">
        <f>AND(List1!M51,"AAAAAD3/L0s=")</f>
        <v>#VALUE!</v>
      </c>
      <c r="BY8" t="e">
        <f>AND(List1!N51,"AAAAAD3/L0w=")</f>
        <v>#VALUE!</v>
      </c>
      <c r="BZ8" t="e">
        <f>AND(List1!O51,"AAAAAD3/L00=")</f>
        <v>#VALUE!</v>
      </c>
      <c r="CA8" t="e">
        <f>AND(List1!P51,"AAAAAD3/L04=")</f>
        <v>#VALUE!</v>
      </c>
      <c r="CB8" t="e">
        <f>AND(List1!Q51,"AAAAAD3/L08=")</f>
        <v>#VALUE!</v>
      </c>
      <c r="CC8" t="e">
        <f>AND(List1!R51,"AAAAAD3/L1A=")</f>
        <v>#VALUE!</v>
      </c>
      <c r="CD8" t="e">
        <f>AND(List1!S51,"AAAAAD3/L1E=")</f>
        <v>#VALUE!</v>
      </c>
      <c r="CE8" t="e">
        <f>AND(List1!T51,"AAAAAD3/L1I=")</f>
        <v>#VALUE!</v>
      </c>
      <c r="CF8" t="e">
        <f>AND(List1!U51,"AAAAAD3/L1M=")</f>
        <v>#VALUE!</v>
      </c>
      <c r="CG8" t="e">
        <f>AND(List1!V51,"AAAAAD3/L1Q=")</f>
        <v>#VALUE!</v>
      </c>
      <c r="CH8" t="e">
        <f>AND(List1!W51,"AAAAAD3/L1U=")</f>
        <v>#VALUE!</v>
      </c>
      <c r="CI8" t="e">
        <f>AND(List1!X51,"AAAAAD3/L1Y=")</f>
        <v>#VALUE!</v>
      </c>
      <c r="CJ8" t="e">
        <f>AND(List1!Y51,"AAAAAD3/L1c=")</f>
        <v>#VALUE!</v>
      </c>
      <c r="CK8" t="e">
        <f>AND(List1!Z51,"AAAAAD3/L1g=")</f>
        <v>#VALUE!</v>
      </c>
      <c r="CL8" t="e">
        <f>AND(List1!AA51,"AAAAAD3/L1k=")</f>
        <v>#VALUE!</v>
      </c>
      <c r="CM8" t="e">
        <f>AND(List1!AB51,"AAAAAD3/L1o=")</f>
        <v>#VALUE!</v>
      </c>
      <c r="CN8" t="e">
        <f>AND(List1!AC51,"AAAAAD3/L1s=")</f>
        <v>#VALUE!</v>
      </c>
      <c r="CO8" t="e">
        <f>AND(List1!B52,"AAAAAD3/L1w=")</f>
        <v>#VALUE!</v>
      </c>
      <c r="CP8" t="e">
        <f>AND(List1!C52,"AAAAAD3/L10=")</f>
        <v>#VALUE!</v>
      </c>
      <c r="CQ8" t="e">
        <f>AND(List1!D52,"AAAAAD3/L14=")</f>
        <v>#VALUE!</v>
      </c>
      <c r="CR8" t="e">
        <f>AND(List1!E52,"AAAAAD3/L18=")</f>
        <v>#VALUE!</v>
      </c>
      <c r="CS8" t="e">
        <f>AND(List1!F52,"AAAAAD3/L2A=")</f>
        <v>#VALUE!</v>
      </c>
      <c r="CT8" t="e">
        <f>AND(List1!G52,"AAAAAD3/L2E=")</f>
        <v>#VALUE!</v>
      </c>
      <c r="CU8" t="e">
        <f>AND(List1!H52,"AAAAAD3/L2I=")</f>
        <v>#VALUE!</v>
      </c>
      <c r="CV8" t="e">
        <f>AND(List1!I52,"AAAAAD3/L2M=")</f>
        <v>#VALUE!</v>
      </c>
      <c r="CW8" t="e">
        <f>AND(List1!J52,"AAAAAD3/L2Q=")</f>
        <v>#VALUE!</v>
      </c>
      <c r="CX8" t="e">
        <f>AND(List1!K52,"AAAAAD3/L2U=")</f>
        <v>#VALUE!</v>
      </c>
      <c r="CY8" t="e">
        <f>AND(List1!L52,"AAAAAD3/L2Y=")</f>
        <v>#VALUE!</v>
      </c>
      <c r="CZ8" t="e">
        <f>AND(List1!M52,"AAAAAD3/L2c=")</f>
        <v>#VALUE!</v>
      </c>
      <c r="DA8" t="e">
        <f>AND(List1!N52,"AAAAAD3/L2g=")</f>
        <v>#VALUE!</v>
      </c>
      <c r="DB8" t="e">
        <f>AND(List1!O52,"AAAAAD3/L2k=")</f>
        <v>#VALUE!</v>
      </c>
      <c r="DC8" t="e">
        <f>AND(List1!P52,"AAAAAD3/L2o=")</f>
        <v>#VALUE!</v>
      </c>
      <c r="DD8" t="e">
        <f>AND(List1!Q52,"AAAAAD3/L2s=")</f>
        <v>#VALUE!</v>
      </c>
      <c r="DE8" t="e">
        <f>AND(List1!R52,"AAAAAD3/L2w=")</f>
        <v>#VALUE!</v>
      </c>
      <c r="DF8" t="e">
        <f>AND(List1!S52,"AAAAAD3/L20=")</f>
        <v>#VALUE!</v>
      </c>
      <c r="DG8" t="e">
        <f>AND(List1!T52,"AAAAAD3/L24=")</f>
        <v>#VALUE!</v>
      </c>
      <c r="DH8" t="e">
        <f>AND(List1!U52,"AAAAAD3/L28=")</f>
        <v>#VALUE!</v>
      </c>
      <c r="DI8" t="e">
        <f>AND(List1!V52,"AAAAAD3/L3A=")</f>
        <v>#VALUE!</v>
      </c>
      <c r="DJ8" t="e">
        <f>AND(List1!W52,"AAAAAD3/L3E=")</f>
        <v>#VALUE!</v>
      </c>
      <c r="DK8" t="e">
        <f>AND(List1!X52,"AAAAAD3/L3I=")</f>
        <v>#VALUE!</v>
      </c>
      <c r="DL8" t="e">
        <f>AND(List1!Y52,"AAAAAD3/L3M=")</f>
        <v>#VALUE!</v>
      </c>
      <c r="DM8" t="e">
        <f>AND(List1!Z52,"AAAAAD3/L3Q=")</f>
        <v>#VALUE!</v>
      </c>
      <c r="DN8" t="e">
        <f>AND(List1!AA52,"AAAAAD3/L3U=")</f>
        <v>#VALUE!</v>
      </c>
      <c r="DO8" t="e">
        <f>AND(List1!AB52,"AAAAAD3/L3Y=")</f>
        <v>#VALUE!</v>
      </c>
      <c r="DP8" t="e">
        <f>AND(List1!AC52,"AAAAAD3/L3c=")</f>
        <v>#VALUE!</v>
      </c>
      <c r="DQ8" t="e">
        <f>AND(List1!B53,"AAAAAD3/L3g=")</f>
        <v>#VALUE!</v>
      </c>
      <c r="DR8" t="e">
        <f>AND(List1!C53,"AAAAAD3/L3k=")</f>
        <v>#VALUE!</v>
      </c>
      <c r="DS8" t="e">
        <f>AND(List1!D53,"AAAAAD3/L3o=")</f>
        <v>#VALUE!</v>
      </c>
      <c r="DT8" t="e">
        <f>AND(List1!E53,"AAAAAD3/L3s=")</f>
        <v>#VALUE!</v>
      </c>
      <c r="DU8" t="e">
        <f>AND(List1!F53,"AAAAAD3/L3w=")</f>
        <v>#VALUE!</v>
      </c>
      <c r="DV8" t="e">
        <f>AND(List1!G53,"AAAAAD3/L30=")</f>
        <v>#VALUE!</v>
      </c>
      <c r="DW8" t="e">
        <f>AND(List1!H53,"AAAAAD3/L34=")</f>
        <v>#VALUE!</v>
      </c>
      <c r="DX8" t="e">
        <f>AND(List1!I53,"AAAAAD3/L38=")</f>
        <v>#VALUE!</v>
      </c>
      <c r="DY8" t="e">
        <f>AND(List1!J53,"AAAAAD3/L4A=")</f>
        <v>#VALUE!</v>
      </c>
      <c r="DZ8" t="e">
        <f>AND(List1!K53,"AAAAAD3/L4E=")</f>
        <v>#VALUE!</v>
      </c>
      <c r="EA8" t="e">
        <f>AND(List1!L53,"AAAAAD3/L4I=")</f>
        <v>#VALUE!</v>
      </c>
      <c r="EB8" t="e">
        <f>AND(List1!M53,"AAAAAD3/L4M=")</f>
        <v>#VALUE!</v>
      </c>
      <c r="EC8" t="e">
        <f>AND(List1!N53,"AAAAAD3/L4Q=")</f>
        <v>#VALUE!</v>
      </c>
      <c r="ED8" t="e">
        <f>AND(List1!O53,"AAAAAD3/L4U=")</f>
        <v>#VALUE!</v>
      </c>
      <c r="EE8" t="e">
        <f>AND(List1!P53,"AAAAAD3/L4Y=")</f>
        <v>#VALUE!</v>
      </c>
      <c r="EF8" t="e">
        <f>AND(List1!Q53,"AAAAAD3/L4c=")</f>
        <v>#VALUE!</v>
      </c>
      <c r="EG8" t="e">
        <f>AND(List1!R53,"AAAAAD3/L4g=")</f>
        <v>#VALUE!</v>
      </c>
      <c r="EH8" t="e">
        <f>AND(List1!S53,"AAAAAD3/L4k=")</f>
        <v>#VALUE!</v>
      </c>
      <c r="EI8" t="e">
        <f>AND(List1!T53,"AAAAAD3/L4o=")</f>
        <v>#VALUE!</v>
      </c>
      <c r="EJ8" t="e">
        <f>AND(List1!U53,"AAAAAD3/L4s=")</f>
        <v>#VALUE!</v>
      </c>
      <c r="EK8" t="e">
        <f>AND(List1!V53,"AAAAAD3/L4w=")</f>
        <v>#VALUE!</v>
      </c>
      <c r="EL8" t="e">
        <f>AND(List1!W53,"AAAAAD3/L40=")</f>
        <v>#VALUE!</v>
      </c>
      <c r="EM8" t="e">
        <f>AND(List1!X53,"AAAAAD3/L44=")</f>
        <v>#VALUE!</v>
      </c>
      <c r="EN8" t="e">
        <f>AND(List1!Y53,"AAAAAD3/L48=")</f>
        <v>#VALUE!</v>
      </c>
      <c r="EO8" t="e">
        <f>AND(List1!Z53,"AAAAAD3/L5A=")</f>
        <v>#VALUE!</v>
      </c>
      <c r="EP8" t="e">
        <f>AND(List1!AA53,"AAAAAD3/L5E=")</f>
        <v>#VALUE!</v>
      </c>
      <c r="EQ8" t="e">
        <f>AND(List1!AB53,"AAAAAD3/L5I=")</f>
        <v>#VALUE!</v>
      </c>
      <c r="ER8" t="e">
        <f>AND(List1!AC53,"AAAAAD3/L5M=")</f>
        <v>#VALUE!</v>
      </c>
    </row>
    <row r="9" spans="1:256" x14ac:dyDescent="0.25">
      <c r="A9" t="e">
        <f>AND(List1!B54,"AAAAAC++pQA=")</f>
        <v>#VALUE!</v>
      </c>
      <c r="B9" t="e">
        <f>AND(List1!C54,"AAAAAC++pQE=")</f>
        <v>#VALUE!</v>
      </c>
      <c r="C9" t="e">
        <f>AND(List1!D54,"AAAAAC++pQI=")</f>
        <v>#VALUE!</v>
      </c>
      <c r="D9" t="e">
        <f>AND(List1!E54,"AAAAAC++pQM=")</f>
        <v>#VALUE!</v>
      </c>
      <c r="E9" t="e">
        <f>AND(List1!F54,"AAAAAC++pQQ=")</f>
        <v>#VALUE!</v>
      </c>
      <c r="F9" t="e">
        <f>AND(List1!G54,"AAAAAC++pQU=")</f>
        <v>#VALUE!</v>
      </c>
      <c r="G9" t="e">
        <f>AND(List1!H54,"AAAAAC++pQY=")</f>
        <v>#VALUE!</v>
      </c>
      <c r="H9" t="e">
        <f>AND(List1!I54,"AAAAAC++pQc=")</f>
        <v>#VALUE!</v>
      </c>
      <c r="I9" t="e">
        <f>AND(List1!J54,"AAAAAC++pQg=")</f>
        <v>#VALUE!</v>
      </c>
    </row>
    <row r="10" spans="1:256" x14ac:dyDescent="0.25">
      <c r="A10" t="e">
        <f>AND(List1!K54,"AAAAAEam3wA=")</f>
        <v>#VALUE!</v>
      </c>
      <c r="B10" t="e">
        <f>AND(List1!L54,"AAAAAEam3wE=")</f>
        <v>#VALUE!</v>
      </c>
      <c r="C10" t="e">
        <f>AND(List1!M54,"AAAAAEam3wI=")</f>
        <v>#VALUE!</v>
      </c>
      <c r="D10" t="e">
        <f>AND(List1!N54,"AAAAAEam3wM=")</f>
        <v>#VALUE!</v>
      </c>
      <c r="E10" t="e">
        <f>AND(List1!O54,"AAAAAEam3wQ=")</f>
        <v>#VALUE!</v>
      </c>
      <c r="F10" t="e">
        <f>AND(List1!P54,"AAAAAEam3wU=")</f>
        <v>#VALUE!</v>
      </c>
      <c r="G10" t="e">
        <f>AND(List1!Q54,"AAAAAEam3wY=")</f>
        <v>#VALUE!</v>
      </c>
      <c r="H10" t="e">
        <f>AND(List1!R54,"AAAAAEam3wc=")</f>
        <v>#VALUE!</v>
      </c>
      <c r="I10" t="e">
        <f>AND(List1!S54,"AAAAAEam3wg=")</f>
        <v>#VALUE!</v>
      </c>
      <c r="J10" t="e">
        <f>AND(List1!T54,"AAAAAEam3wk=")</f>
        <v>#VALUE!</v>
      </c>
      <c r="K10" t="e">
        <f>AND(List1!U54,"AAAAAEam3wo=")</f>
        <v>#VALUE!</v>
      </c>
      <c r="L10" t="e">
        <f>AND(List1!V54,"AAAAAEam3ws=")</f>
        <v>#VALUE!</v>
      </c>
      <c r="M10" t="e">
        <f>AND(List1!W54,"AAAAAEam3ww=")</f>
        <v>#VALUE!</v>
      </c>
      <c r="N10" t="e">
        <f>AND(List1!X54,"AAAAAEam3w0=")</f>
        <v>#VALUE!</v>
      </c>
      <c r="O10" t="e">
        <f>AND(List1!Y54,"AAAAAEam3w4=")</f>
        <v>#VALUE!</v>
      </c>
      <c r="P10" t="e">
        <f>AND(List1!Z54,"AAAAAEam3w8=")</f>
        <v>#VALUE!</v>
      </c>
      <c r="Q10" t="e">
        <f>AND(List1!AA54,"AAAAAEam3xA=")</f>
        <v>#VALUE!</v>
      </c>
    </row>
  </sheetData>
  <pageMargins left="0.7" right="0.7" top="0.78740157499999996" bottom="0.78740157499999996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Appel</dc:creator>
  <cp:lastModifiedBy>Martin Appel</cp:lastModifiedBy>
  <dcterms:created xsi:type="dcterms:W3CDTF">2011-07-31T09:17:59Z</dcterms:created>
  <dcterms:modified xsi:type="dcterms:W3CDTF">2011-08-01T16:14:06Z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1JeaI9YoP8IZr6GqHQm6VUNWXLg7aGSht6Im9BNhVE2k</vt:lpwstr>
  </property>
  <property fmtid="{D5CDD505-2E9C-101B-9397-08002B2CF9AE}" pid="4" name="Google.Documents.RevisionId">
    <vt:lpwstr>11600998937479071584</vt:lpwstr>
  </property>
  <property fmtid="{D5CDD505-2E9C-101B-9397-08002B2CF9AE}" pid="5" name="Google.Documents.PreviousRevisionId">
    <vt:lpwstr>00584772307261033926</vt:lpwstr>
  </property>
  <property fmtid="{D5CDD505-2E9C-101B-9397-08002B2CF9AE}" pid="6" name="Google.Documents.PluginVersion">
    <vt:lpwstr>2.0.2154.5604</vt:lpwstr>
  </property>
  <property fmtid="{D5CDD505-2E9C-101B-9397-08002B2CF9AE}" pid="7" name="Google.Documents.MergeIncapabilityFlags">
    <vt:i4>0</vt:i4>
  </property>
</Properties>
</file>